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updateLinks="always" defaultThemeVersion="124226"/>
  <bookViews>
    <workbookView xWindow="120" yWindow="105" windowWidth="20115" windowHeight="7740"/>
  </bookViews>
  <sheets>
    <sheet name="settings" sheetId="4" r:id="rId1"/>
    <sheet name="Scenario Summary" sheetId="16" r:id="rId2"/>
    <sheet name="lookup CTR per position" sheetId="1" r:id="rId3"/>
    <sheet name="data" sheetId="17" state="hidden" r:id="rId4"/>
    <sheet name="notes" sheetId="5" r:id="rId5"/>
  </sheets>
  <definedNames>
    <definedName name="Clicks">settings!$G$17</definedName>
    <definedName name="Conv_Rate">settings!$G$13</definedName>
    <definedName name="Conversions">settings!$G$19</definedName>
    <definedName name="Cost">settings!$G$18</definedName>
    <definedName name="CPA">settings!$G$20</definedName>
    <definedName name="cpc">settings!$G$10</definedName>
    <definedName name="rank">settings!$B$10</definedName>
    <definedName name="Reach">settings!$B$2</definedName>
    <definedName name="Revenue">settings!$G$21</definedName>
    <definedName name="RevenuePerVisit">settings!$G$14</definedName>
    <definedName name="ROAS">settings!$G$22</definedName>
    <definedName name="Type_of_SearchQuery">settings!$B$7</definedName>
  </definedNames>
  <calcPr calcId="145621"/>
</workbook>
</file>

<file path=xl/calcChain.xml><?xml version="1.0" encoding="utf-8"?>
<calcChain xmlns="http://schemas.openxmlformats.org/spreadsheetml/2006/main">
  <c r="O40" i="1" l="1"/>
  <c r="O41" i="1"/>
  <c r="O42" i="1"/>
  <c r="O43" i="1"/>
  <c r="O44" i="1"/>
  <c r="O45" i="1"/>
  <c r="O46" i="1"/>
  <c r="O47" i="1"/>
  <c r="O48" i="1"/>
  <c r="O49" i="1"/>
  <c r="O50" i="1"/>
  <c r="N43" i="1"/>
  <c r="N42" i="1"/>
  <c r="N50" i="1"/>
  <c r="N49" i="1"/>
  <c r="N48" i="1"/>
  <c r="N47" i="1"/>
  <c r="N46" i="1"/>
  <c r="N45" i="1"/>
  <c r="N44" i="1"/>
  <c r="N41" i="1"/>
  <c r="N40" i="1"/>
  <c r="F34" i="4" l="1"/>
  <c r="C57" i="4"/>
  <c r="J7" i="1"/>
  <c r="J3" i="1"/>
  <c r="C22" i="4"/>
  <c r="C30" i="4"/>
  <c r="C29" i="4"/>
  <c r="D23" i="4"/>
  <c r="E23" i="4" s="1"/>
  <c r="V2" i="1"/>
  <c r="E22" i="4"/>
  <c r="B32" i="4"/>
  <c r="M3" i="1"/>
  <c r="M4" i="1"/>
  <c r="M5" i="1"/>
  <c r="M6" i="1"/>
  <c r="M7" i="1"/>
  <c r="M8" i="1"/>
  <c r="M9" i="1"/>
  <c r="M10" i="1"/>
  <c r="M11" i="1"/>
  <c r="M12" i="1"/>
  <c r="L4" i="1"/>
  <c r="L5" i="1"/>
  <c r="L6" i="1"/>
  <c r="L7" i="1"/>
  <c r="L8" i="1"/>
  <c r="L9" i="1"/>
  <c r="L10" i="1"/>
  <c r="L11" i="1"/>
  <c r="L12" i="1"/>
  <c r="L3" i="1"/>
  <c r="D44" i="4"/>
  <c r="C44" i="4"/>
  <c r="D33" i="4"/>
  <c r="C33" i="4"/>
  <c r="J9" i="1" l="1"/>
  <c r="J8" i="1"/>
  <c r="J4" i="1"/>
  <c r="J5" i="1"/>
  <c r="D24" i="4"/>
  <c r="B67" i="4"/>
  <c r="G16" i="4"/>
  <c r="H11" i="4"/>
  <c r="H12" i="4"/>
  <c r="G14" i="4"/>
  <c r="G22" i="4" s="1"/>
  <c r="E2" i="17"/>
  <c r="E1" i="17"/>
  <c r="M16" i="1"/>
  <c r="N16" i="1"/>
  <c r="P16" i="1"/>
  <c r="O2" i="1"/>
  <c r="U2" i="1"/>
  <c r="W2" i="1"/>
  <c r="S2" i="1"/>
  <c r="T2" i="1"/>
  <c r="Q2" i="1"/>
  <c r="R2" i="1"/>
  <c r="P2" i="1"/>
  <c r="K2" i="1"/>
  <c r="M13" i="1"/>
  <c r="L13" i="1"/>
  <c r="K4" i="1"/>
  <c r="N4" i="1" s="1"/>
  <c r="K5" i="1"/>
  <c r="N5" i="1" s="1"/>
  <c r="K6" i="1"/>
  <c r="N6" i="1" s="1"/>
  <c r="K7" i="1"/>
  <c r="N7" i="1" s="1"/>
  <c r="K8" i="1"/>
  <c r="N8" i="1" s="1"/>
  <c r="K9" i="1"/>
  <c r="N9" i="1" s="1"/>
  <c r="K10" i="1"/>
  <c r="N10" i="1" s="1"/>
  <c r="K11" i="1"/>
  <c r="N11" i="1" s="1"/>
  <c r="K12" i="1"/>
  <c r="N12" i="1" s="1"/>
  <c r="K3" i="1"/>
  <c r="N3" i="1" s="1"/>
  <c r="J10" i="1" l="1"/>
  <c r="C67" i="4"/>
  <c r="D67" i="4"/>
  <c r="E24" i="4"/>
  <c r="D25" i="4"/>
  <c r="T3" i="1"/>
  <c r="S9" i="1"/>
  <c r="S5" i="1"/>
  <c r="R8" i="1"/>
  <c r="R4" i="1"/>
  <c r="Q11" i="1"/>
  <c r="Q7" i="1"/>
  <c r="P10" i="1"/>
  <c r="P6" i="1"/>
  <c r="R12" i="1"/>
  <c r="T12" i="1"/>
  <c r="P3" i="1"/>
  <c r="S3" i="1"/>
  <c r="U12" i="1"/>
  <c r="Q12" i="1"/>
  <c r="T11" i="1"/>
  <c r="P11" i="1"/>
  <c r="S10" i="1"/>
  <c r="R9" i="1"/>
  <c r="U8" i="1"/>
  <c r="Q8" i="1"/>
  <c r="T7" i="1"/>
  <c r="P7" i="1"/>
  <c r="S6" i="1"/>
  <c r="R5" i="1"/>
  <c r="U4" i="1"/>
  <c r="Q4" i="1"/>
  <c r="R3" i="1"/>
  <c r="P12" i="1"/>
  <c r="S11" i="1"/>
  <c r="R10" i="1"/>
  <c r="U9" i="1"/>
  <c r="Q9" i="1"/>
  <c r="T8" i="1"/>
  <c r="P8" i="1"/>
  <c r="S7" i="1"/>
  <c r="R6" i="1"/>
  <c r="U5" i="1"/>
  <c r="Q5" i="1"/>
  <c r="T4" i="1"/>
  <c r="P4" i="1"/>
  <c r="U3" i="1"/>
  <c r="Q3" i="1"/>
  <c r="S12" i="1"/>
  <c r="R11" i="1"/>
  <c r="U10" i="1"/>
  <c r="Q10" i="1"/>
  <c r="T9" i="1"/>
  <c r="P9" i="1"/>
  <c r="S8" i="1"/>
  <c r="R7" i="1"/>
  <c r="U6" i="1"/>
  <c r="Q6" i="1"/>
  <c r="T5" i="1"/>
  <c r="P5" i="1"/>
  <c r="S4" i="1"/>
  <c r="U11" i="1"/>
  <c r="T10" i="1"/>
  <c r="U7" i="1"/>
  <c r="T6" i="1"/>
  <c r="Y2" i="17"/>
  <c r="AJ2" i="17" s="1"/>
  <c r="U2" i="17"/>
  <c r="N2" i="17"/>
  <c r="M2" i="17"/>
  <c r="J2" i="17"/>
  <c r="K2" i="17" s="1"/>
  <c r="H2" i="17"/>
  <c r="I2" i="17" s="1"/>
  <c r="F2" i="17"/>
  <c r="D2" i="17"/>
  <c r="C2" i="17"/>
  <c r="Y1" i="17"/>
  <c r="Z1" i="17" s="1"/>
  <c r="AA1" i="17" s="1"/>
  <c r="AB1" i="17" s="1"/>
  <c r="AC1" i="17" s="1"/>
  <c r="AD1" i="17" s="1"/>
  <c r="AE1" i="17" s="1"/>
  <c r="AF1" i="17" s="1"/>
  <c r="AG1" i="17" s="1"/>
  <c r="AH1" i="17" s="1"/>
  <c r="AI1" i="17" s="1"/>
  <c r="AJ1" i="17" s="1"/>
  <c r="J12" i="1" l="1"/>
  <c r="J11" i="1"/>
  <c r="E25" i="4"/>
  <c r="D26" i="4"/>
  <c r="O9" i="1"/>
  <c r="O8" i="1"/>
  <c r="O5" i="1"/>
  <c r="O4" i="1"/>
  <c r="O3" i="1"/>
  <c r="O10" i="1"/>
  <c r="O6" i="1"/>
  <c r="O12" i="1"/>
  <c r="R13" i="1"/>
  <c r="Q13" i="1"/>
  <c r="O11" i="1"/>
  <c r="S13" i="1"/>
  <c r="O7" i="1"/>
  <c r="P13" i="1"/>
  <c r="AC2" i="17"/>
  <c r="AG2" i="17"/>
  <c r="Z2" i="17"/>
  <c r="AD2" i="17"/>
  <c r="AH2" i="17"/>
  <c r="AA2" i="17"/>
  <c r="AE2" i="17"/>
  <c r="AI2" i="17"/>
  <c r="AB2" i="17"/>
  <c r="AF2" i="17"/>
  <c r="B3" i="1"/>
  <c r="I3" i="1" s="1"/>
  <c r="B4" i="1"/>
  <c r="I4" i="1" l="1"/>
  <c r="V3" i="1"/>
  <c r="D27" i="4"/>
  <c r="E26" i="4"/>
  <c r="W3" i="1"/>
  <c r="O13" i="1"/>
  <c r="I12" i="16"/>
  <c r="J12" i="16"/>
  <c r="I5" i="1" l="1"/>
  <c r="V4" i="1"/>
  <c r="E27" i="4"/>
  <c r="D28" i="4"/>
  <c r="C12" i="16"/>
  <c r="D12" i="16"/>
  <c r="E12" i="16"/>
  <c r="F12" i="16"/>
  <c r="G12" i="16"/>
  <c r="H12" i="16"/>
  <c r="K12" i="16"/>
  <c r="B12" i="16"/>
  <c r="I2" i="16"/>
  <c r="H41" i="4"/>
  <c r="H40" i="4"/>
  <c r="B68" i="4"/>
  <c r="B69" i="4" s="1"/>
  <c r="B70" i="4" s="1"/>
  <c r="B71" i="4" s="1"/>
  <c r="B72" i="4" s="1"/>
  <c r="B73" i="4" s="1"/>
  <c r="B74" i="4" s="1"/>
  <c r="B75" i="4" s="1"/>
  <c r="B76" i="4" s="1"/>
  <c r="B77" i="4" s="1"/>
  <c r="B78" i="4" s="1"/>
  <c r="C78" i="4" s="1"/>
  <c r="A67" i="4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C13" i="1"/>
  <c r="D13" i="1"/>
  <c r="E13" i="1"/>
  <c r="F13" i="1"/>
  <c r="I6" i="1" l="1"/>
  <c r="V5" i="1"/>
  <c r="E28" i="4"/>
  <c r="D29" i="4"/>
  <c r="B2" i="16"/>
  <c r="F2" i="16"/>
  <c r="J2" i="16"/>
  <c r="C2" i="16"/>
  <c r="G2" i="16"/>
  <c r="K2" i="16"/>
  <c r="D2" i="16"/>
  <c r="H2" i="16"/>
  <c r="E2" i="16"/>
  <c r="D77" i="4"/>
  <c r="D75" i="4"/>
  <c r="D73" i="4"/>
  <c r="D71" i="4"/>
  <c r="D69" i="4"/>
  <c r="C77" i="4"/>
  <c r="C75" i="4"/>
  <c r="C73" i="4"/>
  <c r="C71" i="4"/>
  <c r="C69" i="4"/>
  <c r="D78" i="4"/>
  <c r="D76" i="4"/>
  <c r="D74" i="4"/>
  <c r="D72" i="4"/>
  <c r="D70" i="4"/>
  <c r="D68" i="4"/>
  <c r="C76" i="4"/>
  <c r="C74" i="4"/>
  <c r="C72" i="4"/>
  <c r="C70" i="4"/>
  <c r="C68" i="4"/>
  <c r="I7" i="1" l="1"/>
  <c r="V6" i="1"/>
  <c r="E29" i="4"/>
  <c r="D30" i="4"/>
  <c r="E30" i="4" s="1"/>
  <c r="B64" i="4"/>
  <c r="I8" i="1" l="1"/>
  <c r="V7" i="1"/>
  <c r="H45" i="4"/>
  <c r="H46" i="4" s="1"/>
  <c r="H43" i="4"/>
  <c r="H44" i="4" s="1"/>
  <c r="I9" i="1" l="1"/>
  <c r="V8" i="1"/>
  <c r="C28" i="4"/>
  <c r="I10" i="1" l="1"/>
  <c r="V9" i="1"/>
  <c r="B5" i="1"/>
  <c r="B6" i="1"/>
  <c r="B7" i="1"/>
  <c r="B8" i="1"/>
  <c r="B9" i="1"/>
  <c r="B10" i="1"/>
  <c r="B11" i="1"/>
  <c r="B12" i="1"/>
  <c r="I11" i="1" l="1"/>
  <c r="V10" i="1"/>
  <c r="B13" i="1"/>
  <c r="C27" i="4"/>
  <c r="C26" i="4"/>
  <c r="C25" i="4"/>
  <c r="C24" i="4"/>
  <c r="C23" i="4"/>
  <c r="I12" i="1" l="1"/>
  <c r="V12" i="1" s="1"/>
  <c r="V11" i="1"/>
  <c r="I13" i="1"/>
  <c r="D13" i="4"/>
  <c r="H3" i="16" s="1"/>
  <c r="D17" i="4"/>
  <c r="D3" i="16" s="1"/>
  <c r="D18" i="4"/>
  <c r="C3" i="16" s="1"/>
  <c r="D19" i="4"/>
  <c r="B3" i="16" s="1"/>
  <c r="D12" i="4"/>
  <c r="I3" i="16" s="1"/>
  <c r="D15" i="4"/>
  <c r="F3" i="16" s="1"/>
  <c r="D16" i="4"/>
  <c r="E3" i="16" s="1"/>
  <c r="G2" i="17"/>
  <c r="L2" i="17" s="1"/>
  <c r="P2" i="17" s="1"/>
  <c r="D14" i="4"/>
  <c r="G3" i="16" s="1"/>
  <c r="D10" i="4"/>
  <c r="K3" i="16" s="1"/>
  <c r="D11" i="4"/>
  <c r="J3" i="16" s="1"/>
  <c r="H42" i="4"/>
  <c r="H47" i="4" s="1"/>
  <c r="G17" i="4" s="1"/>
  <c r="V13" i="1" l="1"/>
  <c r="R2" i="17"/>
  <c r="Q2" i="17"/>
  <c r="S2" i="17"/>
  <c r="G21" i="4"/>
  <c r="G18" i="4"/>
  <c r="H4" i="16"/>
  <c r="H5" i="16" s="1"/>
  <c r="B4" i="16"/>
  <c r="B5" i="16" s="1"/>
  <c r="B6" i="16" s="1"/>
  <c r="J4" i="16"/>
  <c r="J5" i="16" s="1"/>
  <c r="D4" i="16"/>
  <c r="D5" i="16" s="1"/>
  <c r="D9" i="16" s="1"/>
  <c r="K4" i="16"/>
  <c r="K5" i="16" s="1"/>
  <c r="I4" i="16"/>
  <c r="I5" i="16" s="1"/>
  <c r="C4" i="16"/>
  <c r="C5" i="16" s="1"/>
  <c r="G4" i="16"/>
  <c r="G5" i="16" s="1"/>
  <c r="E4" i="16"/>
  <c r="E5" i="16" s="1"/>
  <c r="F4" i="16"/>
  <c r="F5" i="16" s="1"/>
  <c r="O2" i="17" l="1"/>
  <c r="T2" i="17"/>
  <c r="E7" i="16"/>
  <c r="E9" i="16"/>
  <c r="H7" i="16"/>
  <c r="H9" i="16"/>
  <c r="G7" i="16"/>
  <c r="G9" i="16"/>
  <c r="J9" i="16"/>
  <c r="J7" i="16"/>
  <c r="K9" i="16"/>
  <c r="K7" i="16"/>
  <c r="D7" i="16"/>
  <c r="C7" i="16"/>
  <c r="C9" i="16"/>
  <c r="F7" i="16"/>
  <c r="F9" i="16"/>
  <c r="I7" i="16"/>
  <c r="I9" i="16"/>
  <c r="B7" i="16"/>
  <c r="B8" i="16" s="1"/>
  <c r="B9" i="16"/>
  <c r="B10" i="16" s="1"/>
  <c r="B11" i="16" s="1"/>
  <c r="G19" i="4"/>
  <c r="G20" i="4" s="1"/>
  <c r="W4" i="1"/>
  <c r="W5" i="1"/>
  <c r="I6" i="16"/>
  <c r="D6" i="16"/>
  <c r="J6" i="16"/>
  <c r="K6" i="16"/>
  <c r="C6" i="16"/>
  <c r="H6" i="16"/>
  <c r="G6" i="16"/>
  <c r="F6" i="16"/>
  <c r="E6" i="16"/>
  <c r="K10" i="16" l="1"/>
  <c r="K11" i="16" s="1"/>
  <c r="J10" i="16"/>
  <c r="J11" i="16" s="1"/>
  <c r="D8" i="16"/>
  <c r="I8" i="16"/>
  <c r="H10" i="16"/>
  <c r="H11" i="16" s="1"/>
  <c r="C10" i="16"/>
  <c r="C11" i="16" s="1"/>
  <c r="G8" i="16"/>
  <c r="D10" i="16"/>
  <c r="D11" i="16" s="1"/>
  <c r="I10" i="16"/>
  <c r="I11" i="16" s="1"/>
  <c r="K8" i="16"/>
  <c r="E10" i="16"/>
  <c r="E11" i="16" s="1"/>
  <c r="H8" i="16"/>
  <c r="C8" i="16"/>
  <c r="J8" i="16"/>
  <c r="F10" i="16"/>
  <c r="F11" i="16" s="1"/>
  <c r="F8" i="16"/>
  <c r="G10" i="16"/>
  <c r="G11" i="16" s="1"/>
  <c r="E8" i="16"/>
  <c r="W7" i="1" l="1"/>
  <c r="W8" i="1" l="1"/>
  <c r="W9" i="1" l="1"/>
  <c r="W10" i="1" l="1"/>
  <c r="W11" i="1" l="1"/>
  <c r="W12" i="1" l="1"/>
  <c r="D57" i="4"/>
  <c r="J6" i="1"/>
  <c r="J13" i="1" l="1"/>
  <c r="W6" i="1"/>
  <c r="W13" i="1" s="1"/>
</calcChain>
</file>

<file path=xl/comments1.xml><?xml version="1.0" encoding="utf-8"?>
<comments xmlns="http://schemas.openxmlformats.org/spreadsheetml/2006/main">
  <authors>
    <author>user</author>
    <author>phil</author>
  </authors>
  <commentList>
    <comment ref="G2" authorId="0">
      <text>
        <r>
          <rPr>
            <b/>
            <sz val="9"/>
            <color indexed="81"/>
            <rFont val="Tahoma"/>
            <family val="2"/>
          </rPr>
          <t>http://www.epiphanysolutions.co.uk/blog/decoding-the-quality-score-2/</t>
        </r>
      </text>
    </comment>
    <comment ref="H2" authorId="0">
      <text>
        <r>
          <rPr>
            <b/>
            <sz val="9"/>
            <color indexed="81"/>
            <rFont val="Tahoma"/>
            <family val="2"/>
          </rPr>
          <t>http://www.accuracast.com/seo-weekly/adwords-clickthrough.php</t>
        </r>
      </text>
    </comment>
    <comment ref="E12" authorId="1">
      <text>
        <r>
          <rPr>
            <b/>
            <sz val="9"/>
            <color indexed="81"/>
            <rFont val="Tahoma"/>
            <charset val="1"/>
          </rPr>
          <t>Enquiro suggest position10 gets more traffic than rank9</t>
        </r>
      </text>
    </comment>
    <comment ref="F12" authorId="1">
      <text>
        <r>
          <rPr>
            <b/>
            <sz val="9"/>
            <color indexed="81"/>
            <rFont val="Tahoma"/>
            <charset val="1"/>
          </rPr>
          <t>AOL suggest position10 gets more traffic than rank9</t>
        </r>
      </text>
    </comment>
  </commentList>
</comments>
</file>

<file path=xl/sharedStrings.xml><?xml version="1.0" encoding="utf-8"?>
<sst xmlns="http://schemas.openxmlformats.org/spreadsheetml/2006/main" count="131" uniqueCount="88">
  <si>
    <t>Slingshot</t>
  </si>
  <si>
    <t>Optify</t>
  </si>
  <si>
    <t>Enquiro</t>
  </si>
  <si>
    <t>AOL</t>
  </si>
  <si>
    <t>Avg</t>
  </si>
  <si>
    <t>Recentcy</t>
  </si>
  <si>
    <t>n/a</t>
  </si>
  <si>
    <t>Total Organic CTR</t>
  </si>
  <si>
    <t>RangeName</t>
  </si>
  <si>
    <t>UK Broad Searches</t>
  </si>
  <si>
    <t>UK Phrase Searches</t>
  </si>
  <si>
    <t>Competition</t>
  </si>
  <si>
    <t>RPV</t>
  </si>
  <si>
    <t>CPC</t>
  </si>
  <si>
    <t>Clicks</t>
  </si>
  <si>
    <t>Cost</t>
  </si>
  <si>
    <t>Revenue</t>
  </si>
  <si>
    <t>Exact KW</t>
  </si>
  <si>
    <t>id</t>
  </si>
  <si>
    <t>ColumnNo</t>
  </si>
  <si>
    <t>Select CTR table</t>
  </si>
  <si>
    <t>Name</t>
  </si>
  <si>
    <t>Conversions</t>
  </si>
  <si>
    <t>CPA</t>
  </si>
  <si>
    <t>Rank</t>
  </si>
  <si>
    <t>UK Exact Searches (Reach)</t>
  </si>
  <si>
    <t>Organic CTR</t>
  </si>
  <si>
    <t>Reach</t>
  </si>
  <si>
    <t>Avg CPC</t>
  </si>
  <si>
    <t>[indian curry]</t>
  </si>
  <si>
    <t>Ecommerce</t>
  </si>
  <si>
    <t>Publisher</t>
  </si>
  <si>
    <t>Lead gen</t>
  </si>
  <si>
    <t>Avg Basket value</t>
  </si>
  <si>
    <t>ROAS</t>
  </si>
  <si>
    <t>Universal search dampener by Industry:</t>
  </si>
  <si>
    <t>Default</t>
  </si>
  <si>
    <t>Custom</t>
  </si>
  <si>
    <t>CTR Brand Damperner:</t>
  </si>
  <si>
    <t>Universal search dampener by Industry</t>
  </si>
  <si>
    <t>Selection: CTR</t>
  </si>
  <si>
    <t>Selected CTR</t>
  </si>
  <si>
    <t>Selection: Universal search dampener by Industry</t>
  </si>
  <si>
    <t>Selection: CTR Brand Damperner</t>
  </si>
  <si>
    <t>Brand Damperner</t>
  </si>
  <si>
    <t>Adj. CTR</t>
  </si>
  <si>
    <t>MatchType</t>
  </si>
  <si>
    <t>RevenuePerVisit</t>
  </si>
  <si>
    <t>WebSite Type</t>
  </si>
  <si>
    <t>Est Conv Rate</t>
  </si>
  <si>
    <t>Other</t>
  </si>
  <si>
    <t>Select Current Rank</t>
  </si>
  <si>
    <t>UK Exact Searches</t>
  </si>
  <si>
    <t>CTR Per industry</t>
  </si>
  <si>
    <t>Brand Dampended CTR</t>
  </si>
  <si>
    <t>Revenue Increase per Position</t>
  </si>
  <si>
    <t>% Increase in Revenue</t>
  </si>
  <si>
    <t>Ranking Scenario</t>
  </si>
  <si>
    <t>Seasonality</t>
  </si>
  <si>
    <t>Unpopular Brand</t>
  </si>
  <si>
    <t>Very Popular Brand</t>
  </si>
  <si>
    <t>Popular Brand</t>
  </si>
  <si>
    <t>Very Unpopular Brand</t>
  </si>
  <si>
    <t>Email</t>
  </si>
  <si>
    <t>Website Address</t>
  </si>
  <si>
    <t>www.domain.com</t>
  </si>
  <si>
    <t>email@domain.com</t>
  </si>
  <si>
    <t>Exact SearchQuery</t>
  </si>
  <si>
    <t xml:space="preserve">Country </t>
  </si>
  <si>
    <t>UK</t>
  </si>
  <si>
    <t>Type of SearchQuery</t>
  </si>
  <si>
    <t>Default: Both Types</t>
  </si>
  <si>
    <t>Informational SearchQuery</t>
  </si>
  <si>
    <t>Transactional SearchQuery</t>
  </si>
  <si>
    <t>http://eyetools.com/research_google_eyetracking_heatmap.html</t>
  </si>
  <si>
    <t>&lt;-Page fold</t>
  </si>
  <si>
    <t>EyeBall Impresson (cpc)</t>
  </si>
  <si>
    <t>Company Name</t>
  </si>
  <si>
    <t xml:space="preserve">My Company </t>
  </si>
  <si>
    <t xml:space="preserve">Impressions for Exact 
SearchQuery  (Reach) </t>
  </si>
  <si>
    <t>Linear</t>
  </si>
  <si>
    <t>Epiphany (cpc)</t>
  </si>
  <si>
    <t>Accuracast (cpc)</t>
  </si>
  <si>
    <t>Custom CTR</t>
  </si>
  <si>
    <t>Note used…</t>
  </si>
  <si>
    <t>Inversed for Chart..</t>
  </si>
  <si>
    <t>EyeBall Impresson</t>
  </si>
  <si>
    <t>Organic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</si>
</sst>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£&quot;#,##0;[Red]\-&quot;£&quot;#,##0"/>
    <numFmt numFmtId="8" formatCode="&quot;£&quot;#,##0.00;[Red]\-&quot;£&quot;#,##0.00"/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_-&quot;£&quot;* #,##0_-;\-&quot;£&quot;* #,##0_-;_-&quot;£&quot;* &quot;-&quot;??_-;_-@_-"/>
    <numFmt numFmtId="165" formatCode="_-* #,##0_-;\-* #,##0_-;_-* &quot;-&quot;??_-;_-@_-"/>
    <numFmt numFmtId="166" formatCode="_(* #,##0.00_);_(* \(#,##0.00\);_(* \-??_);_(@_)"/>
    <numFmt numFmtId="167" formatCode="_-* #,##0.0_-;\-* #,##0.0_-;_-* &quot;-&quot;??_-;_-@_-"/>
    <numFmt numFmtId="168" formatCode="[$£-809]#,##0;[Red]\-[$£-809]#,##0"/>
    <numFmt numFmtId="169" formatCode="_-&quot;£&quot;* #,##0.0_-;\-&quot;£&quot;* #,##0.0_-;_-&quot;£&quot;* &quot;-&quot;??_-;_-@_-"/>
    <numFmt numFmtId="170" formatCode="yyyy"/>
    <numFmt numFmtId="171" formatCode="0.0%"/>
    <numFmt numFmtId="172" formatCode="mmm"/>
    <numFmt numFmtId="173" formatCode="0.0000000000000000%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u/>
      <sz val="10"/>
      <color indexed="12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0"/>
      <color theme="0"/>
      <name val="Arial"/>
      <family val="2"/>
    </font>
    <font>
      <sz val="11"/>
      <color rgb="FF000000"/>
      <name val="Calibri"/>
      <family val="2"/>
    </font>
    <font>
      <b/>
      <sz val="11"/>
      <color theme="0"/>
      <name val="Calibri"/>
      <family val="2"/>
    </font>
    <font>
      <sz val="10"/>
      <color indexed="9"/>
      <name val="Calibri"/>
      <family val="2"/>
      <scheme val="minor"/>
    </font>
    <font>
      <b/>
      <sz val="9"/>
      <color indexed="81"/>
      <name val="Tahoma"/>
      <family val="2"/>
    </font>
    <font>
      <b/>
      <sz val="12"/>
      <color indexed="9"/>
      <name val="Calibri"/>
      <family val="2"/>
      <scheme val="minor"/>
    </font>
    <font>
      <b/>
      <sz val="11"/>
      <color indexed="8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  <font>
      <b/>
      <sz val="9"/>
      <color indexed="81"/>
      <name val="Tahoma"/>
      <charset val="1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rgb="FFC0C0C0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indexed="64"/>
      </bottom>
      <diagonal/>
    </border>
    <border>
      <left style="thin">
        <color rgb="FFD0D7E5"/>
      </left>
      <right style="thin">
        <color indexed="64"/>
      </right>
      <top style="thin">
        <color indexed="64"/>
      </top>
      <bottom style="thin">
        <color rgb="FFD0D7E5"/>
      </bottom>
      <diagonal/>
    </border>
    <border>
      <left style="thin">
        <color rgb="FFD0D7E5"/>
      </left>
      <right style="thin">
        <color indexed="64"/>
      </right>
      <top style="thin">
        <color rgb="FFD0D7E5"/>
      </top>
      <bottom style="thin">
        <color rgb="FFD0D7E5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rgb="FFD0D7E5"/>
      </left>
      <right style="thin">
        <color indexed="64"/>
      </right>
      <top style="thin">
        <color rgb="FFD0D7E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5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9" fillId="0" borderId="0" applyFont="0" applyFill="0" applyBorder="0" applyAlignment="0" applyProtection="0"/>
    <xf numFmtId="166" fontId="20" fillId="0" borderId="0"/>
    <xf numFmtId="0" fontId="21" fillId="0" borderId="0" applyNumberFormat="0" applyFill="0" applyBorder="0" applyAlignment="0" applyProtection="0"/>
    <xf numFmtId="0" fontId="19" fillId="0" borderId="0" applyNumberFormat="0" applyFont="0" applyFill="0" applyBorder="0" applyAlignment="0" applyProtection="0"/>
    <xf numFmtId="0" fontId="22" fillId="0" borderId="0" applyNumberFormat="0" applyFill="0" applyBorder="0" applyAlignment="0" applyProtection="0"/>
    <xf numFmtId="0" fontId="19" fillId="0" borderId="0"/>
    <xf numFmtId="0" fontId="1" fillId="0" borderId="0"/>
    <xf numFmtId="0" fontId="1" fillId="8" borderId="8" applyNumberFormat="0" applyFont="0" applyAlignment="0" applyProtection="0"/>
    <xf numFmtId="9" fontId="18" fillId="0" borderId="0" applyFont="0" applyFill="0" applyBorder="0" applyAlignment="0" applyProtection="0"/>
    <xf numFmtId="0" fontId="22" fillId="0" borderId="0" applyNumberFormat="0" applyFill="0" applyBorder="0" applyAlignment="0" applyProtection="0"/>
  </cellStyleXfs>
  <cellXfs count="208">
    <xf numFmtId="0" fontId="0" fillId="0" borderId="0" xfId="0"/>
    <xf numFmtId="0" fontId="0" fillId="0" borderId="0" xfId="0" applyAlignment="1">
      <alignment vertical="top"/>
    </xf>
    <xf numFmtId="0" fontId="24" fillId="0" borderId="13" xfId="0" applyFont="1" applyFill="1" applyBorder="1" applyAlignment="1" applyProtection="1">
      <alignment vertical="top"/>
    </xf>
    <xf numFmtId="0" fontId="17" fillId="33" borderId="0" xfId="0" applyFont="1" applyFill="1" applyAlignment="1">
      <alignment vertical="top"/>
    </xf>
    <xf numFmtId="8" fontId="0" fillId="0" borderId="0" xfId="0" applyNumberFormat="1" applyAlignment="1">
      <alignment vertical="top"/>
    </xf>
    <xf numFmtId="165" fontId="0" fillId="0" borderId="0" xfId="0" applyNumberFormat="1" applyFill="1" applyBorder="1" applyAlignment="1"/>
    <xf numFmtId="164" fontId="0" fillId="0" borderId="0" xfId="0" applyNumberFormat="1" applyFill="1" applyBorder="1" applyAlignment="1"/>
    <xf numFmtId="0" fontId="25" fillId="36" borderId="10" xfId="0" applyFont="1" applyFill="1" applyBorder="1" applyAlignment="1" applyProtection="1">
      <alignment vertical="top"/>
    </xf>
    <xf numFmtId="165" fontId="25" fillId="36" borderId="10" xfId="1" applyNumberFormat="1" applyFont="1" applyFill="1" applyBorder="1" applyAlignment="1" applyProtection="1">
      <alignment vertical="top"/>
    </xf>
    <xf numFmtId="167" fontId="25" fillId="36" borderId="10" xfId="1" applyNumberFormat="1" applyFont="1" applyFill="1" applyBorder="1" applyAlignment="1" applyProtection="1">
      <alignment vertical="top"/>
    </xf>
    <xf numFmtId="8" fontId="25" fillId="36" borderId="10" xfId="0" applyNumberFormat="1" applyFont="1" applyFill="1" applyBorder="1" applyAlignment="1" applyProtection="1">
      <alignment vertical="top"/>
    </xf>
    <xf numFmtId="9" fontId="25" fillId="36" borderId="10" xfId="3" applyFont="1" applyFill="1" applyBorder="1" applyAlignment="1" applyProtection="1">
      <alignment vertical="top"/>
    </xf>
    <xf numFmtId="168" fontId="25" fillId="36" borderId="10" xfId="0" applyNumberFormat="1" applyFont="1" applyFill="1" applyBorder="1" applyAlignment="1" applyProtection="1">
      <alignment vertical="top"/>
    </xf>
    <xf numFmtId="165" fontId="24" fillId="0" borderId="13" xfId="1" applyNumberFormat="1" applyFont="1" applyFill="1" applyBorder="1" applyAlignment="1" applyProtection="1">
      <alignment vertical="top"/>
    </xf>
    <xf numFmtId="165" fontId="24" fillId="34" borderId="13" xfId="1" applyNumberFormat="1" applyFont="1" applyFill="1" applyBorder="1" applyAlignment="1" applyProtection="1">
      <alignment vertical="top"/>
    </xf>
    <xf numFmtId="0" fontId="24" fillId="34" borderId="13" xfId="1" applyNumberFormat="1" applyFont="1" applyFill="1" applyBorder="1" applyAlignment="1" applyProtection="1">
      <alignment vertical="top"/>
    </xf>
    <xf numFmtId="9" fontId="24" fillId="34" borderId="13" xfId="3" applyFont="1" applyFill="1" applyBorder="1" applyAlignment="1" applyProtection="1">
      <alignment vertical="top"/>
    </xf>
    <xf numFmtId="167" fontId="24" fillId="0" borderId="13" xfId="1" applyNumberFormat="1" applyFont="1" applyFill="1" applyBorder="1" applyAlignment="1" applyProtection="1">
      <alignment vertical="top"/>
    </xf>
    <xf numFmtId="44" fontId="24" fillId="34" borderId="13" xfId="0" applyNumberFormat="1" applyFont="1" applyFill="1" applyBorder="1" applyAlignment="1" applyProtection="1">
      <alignment vertical="top"/>
    </xf>
    <xf numFmtId="6" fontId="24" fillId="34" borderId="13" xfId="0" applyNumberFormat="1" applyFont="1" applyFill="1" applyBorder="1" applyAlignment="1" applyProtection="1">
      <alignment vertical="top"/>
    </xf>
    <xf numFmtId="168" fontId="24" fillId="34" borderId="13" xfId="0" applyNumberFormat="1" applyFont="1" applyFill="1" applyBorder="1" applyAlignment="1" applyProtection="1">
      <alignment vertical="top"/>
    </xf>
    <xf numFmtId="0" fontId="17" fillId="33" borderId="15" xfId="0" applyFont="1" applyFill="1" applyBorder="1" applyAlignment="1">
      <alignment horizontal="right" vertical="top"/>
    </xf>
    <xf numFmtId="0" fontId="0" fillId="40" borderId="10" xfId="0" applyFill="1" applyBorder="1" applyAlignment="1">
      <alignment horizontal="right" vertical="top"/>
    </xf>
    <xf numFmtId="0" fontId="0" fillId="34" borderId="15" xfId="0" applyFill="1" applyBorder="1" applyAlignment="1">
      <alignment vertical="top"/>
    </xf>
    <xf numFmtId="44" fontId="16" fillId="0" borderId="21" xfId="2" applyFont="1" applyBorder="1" applyAlignment="1">
      <alignment vertical="top"/>
    </xf>
    <xf numFmtId="0" fontId="17" fillId="33" borderId="17" xfId="0" applyFont="1" applyFill="1" applyBorder="1" applyAlignment="1">
      <alignment horizontal="right" vertical="top"/>
    </xf>
    <xf numFmtId="0" fontId="0" fillId="34" borderId="17" xfId="0" applyFill="1" applyBorder="1" applyAlignment="1">
      <alignment vertical="top"/>
    </xf>
    <xf numFmtId="9" fontId="0" fillId="0" borderId="18" xfId="3" applyFont="1" applyBorder="1" applyAlignment="1">
      <alignment vertical="top"/>
    </xf>
    <xf numFmtId="0" fontId="17" fillId="33" borderId="19" xfId="0" applyFont="1" applyFill="1" applyBorder="1" applyAlignment="1">
      <alignment horizontal="right" vertical="top"/>
    </xf>
    <xf numFmtId="169" fontId="16" fillId="0" borderId="22" xfId="2" applyNumberFormat="1" applyFont="1" applyFill="1" applyBorder="1" applyAlignment="1">
      <alignment vertical="top"/>
    </xf>
    <xf numFmtId="44" fontId="16" fillId="0" borderId="22" xfId="2" applyFont="1" applyBorder="1" applyAlignment="1">
      <alignment vertical="top"/>
    </xf>
    <xf numFmtId="9" fontId="16" fillId="0" borderId="23" xfId="0" applyNumberFormat="1" applyFont="1" applyBorder="1" applyAlignment="1">
      <alignment vertical="top"/>
    </xf>
    <xf numFmtId="0" fontId="30" fillId="0" borderId="0" xfId="0" applyFont="1" applyAlignment="1">
      <alignment vertical="top"/>
    </xf>
    <xf numFmtId="0" fontId="14" fillId="0" borderId="0" xfId="0" applyFont="1" applyAlignment="1">
      <alignment vertical="top"/>
    </xf>
    <xf numFmtId="0" fontId="0" fillId="0" borderId="0" xfId="0" applyAlignment="1">
      <alignment horizontal="right" vertical="top"/>
    </xf>
    <xf numFmtId="0" fontId="0" fillId="34" borderId="19" xfId="0" applyFill="1" applyBorder="1" applyAlignment="1">
      <alignment vertical="top"/>
    </xf>
    <xf numFmtId="9" fontId="0" fillId="0" borderId="20" xfId="3" applyFont="1" applyBorder="1" applyAlignment="1">
      <alignment vertical="top"/>
    </xf>
    <xf numFmtId="0" fontId="17" fillId="33" borderId="0" xfId="0" applyFont="1" applyFill="1" applyAlignment="1">
      <alignment horizontal="left" vertical="top"/>
    </xf>
    <xf numFmtId="0" fontId="0" fillId="33" borderId="0" xfId="0" applyFill="1" applyAlignment="1">
      <alignment vertical="top"/>
    </xf>
    <xf numFmtId="0" fontId="0" fillId="0" borderId="0" xfId="0" applyAlignment="1">
      <alignment horizontal="left" vertical="top"/>
    </xf>
    <xf numFmtId="165" fontId="19" fillId="34" borderId="16" xfId="1" applyNumberFormat="1" applyFont="1" applyFill="1" applyBorder="1" applyAlignment="1">
      <alignment vertical="top"/>
    </xf>
    <xf numFmtId="0" fontId="0" fillId="40" borderId="26" xfId="0" applyFill="1" applyBorder="1" applyAlignment="1">
      <alignment horizontal="right" vertical="top"/>
    </xf>
    <xf numFmtId="9" fontId="0" fillId="0" borderId="16" xfId="0" applyNumberFormat="1" applyBorder="1" applyAlignment="1">
      <alignment vertical="top"/>
    </xf>
    <xf numFmtId="165" fontId="19" fillId="34" borderId="18" xfId="1" applyNumberFormat="1" applyFont="1" applyFill="1" applyBorder="1" applyAlignment="1">
      <alignment vertical="top"/>
    </xf>
    <xf numFmtId="165" fontId="19" fillId="0" borderId="0" xfId="1" applyNumberFormat="1" applyFont="1" applyAlignment="1">
      <alignment horizontal="right" vertical="top"/>
    </xf>
    <xf numFmtId="9" fontId="0" fillId="0" borderId="18" xfId="0" applyNumberFormat="1" applyBorder="1" applyAlignment="1">
      <alignment vertical="top"/>
    </xf>
    <xf numFmtId="9" fontId="0" fillId="0" borderId="18" xfId="0" applyNumberFormat="1" applyFill="1" applyBorder="1" applyAlignment="1">
      <alignment vertical="top"/>
    </xf>
    <xf numFmtId="9" fontId="0" fillId="0" borderId="20" xfId="0" applyNumberFormat="1" applyBorder="1" applyAlignment="1">
      <alignment vertical="top"/>
    </xf>
    <xf numFmtId="165" fontId="23" fillId="33" borderId="0" xfId="1" applyNumberFormat="1" applyFont="1" applyFill="1" applyAlignment="1">
      <alignment horizontal="left" vertical="top"/>
    </xf>
    <xf numFmtId="165" fontId="19" fillId="34" borderId="20" xfId="1" applyNumberFormat="1" applyFont="1" applyFill="1" applyBorder="1" applyAlignment="1">
      <alignment vertical="top"/>
    </xf>
    <xf numFmtId="43" fontId="24" fillId="34" borderId="13" xfId="1" applyNumberFormat="1" applyFont="1" applyFill="1" applyBorder="1" applyAlignment="1" applyProtection="1">
      <alignment vertical="top"/>
    </xf>
    <xf numFmtId="165" fontId="24" fillId="0" borderId="0" xfId="1" applyNumberFormat="1" applyFont="1" applyFill="1" applyBorder="1" applyAlignment="1" applyProtection="1">
      <alignment vertical="top"/>
    </xf>
    <xf numFmtId="0" fontId="25" fillId="36" borderId="10" xfId="0" applyFont="1" applyFill="1" applyBorder="1" applyAlignment="1" applyProtection="1">
      <alignment horizontal="right" vertical="top"/>
    </xf>
    <xf numFmtId="165" fontId="25" fillId="36" borderId="10" xfId="1" applyNumberFormat="1" applyFont="1" applyFill="1" applyBorder="1" applyAlignment="1" applyProtection="1">
      <alignment horizontal="right" vertical="top"/>
    </xf>
    <xf numFmtId="165" fontId="24" fillId="0" borderId="0" xfId="1" applyNumberFormat="1" applyFont="1" applyFill="1" applyBorder="1" applyAlignment="1" applyProtection="1">
      <alignment horizontal="right" vertical="top"/>
    </xf>
    <xf numFmtId="0" fontId="17" fillId="33" borderId="0" xfId="0" applyFont="1" applyFill="1" applyAlignment="1">
      <alignment horizontal="right" vertical="top"/>
    </xf>
    <xf numFmtId="171" fontId="24" fillId="34" borderId="13" xfId="3" applyNumberFormat="1" applyFont="1" applyFill="1" applyBorder="1" applyAlignment="1" applyProtection="1">
      <alignment vertical="top"/>
    </xf>
    <xf numFmtId="171" fontId="25" fillId="36" borderId="10" xfId="3" applyNumberFormat="1" applyFont="1" applyFill="1" applyBorder="1" applyAlignment="1" applyProtection="1">
      <alignment vertical="top"/>
    </xf>
    <xf numFmtId="171" fontId="0" fillId="0" borderId="0" xfId="3" applyNumberFormat="1" applyFont="1" applyAlignment="1">
      <alignment vertical="top"/>
    </xf>
    <xf numFmtId="0" fontId="17" fillId="33" borderId="29" xfId="0" applyFont="1" applyFill="1" applyBorder="1" applyAlignment="1">
      <alignment horizontal="right" vertical="top"/>
    </xf>
    <xf numFmtId="165" fontId="0" fillId="34" borderId="30" xfId="1" applyNumberFormat="1" applyFont="1" applyFill="1" applyBorder="1" applyAlignment="1">
      <alignment vertical="top"/>
    </xf>
    <xf numFmtId="0" fontId="17" fillId="33" borderId="31" xfId="0" applyFont="1" applyFill="1" applyBorder="1" applyAlignment="1">
      <alignment horizontal="right" vertical="top"/>
    </xf>
    <xf numFmtId="165" fontId="0" fillId="34" borderId="32" xfId="1" applyNumberFormat="1" applyFont="1" applyFill="1" applyBorder="1" applyAlignment="1">
      <alignment vertical="top"/>
    </xf>
    <xf numFmtId="164" fontId="0" fillId="34" borderId="32" xfId="2" applyNumberFormat="1" applyFont="1" applyFill="1" applyBorder="1" applyAlignment="1">
      <alignment vertical="top"/>
    </xf>
    <xf numFmtId="9" fontId="17" fillId="33" borderId="31" xfId="3" applyFont="1" applyFill="1" applyBorder="1" applyAlignment="1">
      <alignment horizontal="right" vertical="top"/>
    </xf>
    <xf numFmtId="0" fontId="17" fillId="33" borderId="33" xfId="0" applyFont="1" applyFill="1" applyBorder="1" applyAlignment="1">
      <alignment horizontal="right" vertical="top"/>
    </xf>
    <xf numFmtId="0" fontId="17" fillId="33" borderId="34" xfId="0" applyFont="1" applyFill="1" applyBorder="1" applyAlignment="1">
      <alignment horizontal="right" vertical="top"/>
    </xf>
    <xf numFmtId="9" fontId="0" fillId="34" borderId="35" xfId="3" applyFont="1" applyFill="1" applyBorder="1" applyAlignment="1">
      <alignment vertical="top"/>
    </xf>
    <xf numFmtId="172" fontId="25" fillId="36" borderId="10" xfId="1" applyNumberFormat="1" applyFont="1" applyFill="1" applyBorder="1" applyAlignment="1" applyProtection="1">
      <alignment vertical="top"/>
    </xf>
    <xf numFmtId="165" fontId="0" fillId="0" borderId="0" xfId="0" applyNumberFormat="1" applyBorder="1" applyAlignment="1">
      <alignment vertical="top"/>
    </xf>
    <xf numFmtId="165" fontId="0" fillId="0" borderId="18" xfId="0" applyNumberFormat="1" applyBorder="1" applyAlignment="1">
      <alignment vertical="top"/>
    </xf>
    <xf numFmtId="165" fontId="24" fillId="0" borderId="36" xfId="1" applyNumberFormat="1" applyFont="1" applyFill="1" applyBorder="1" applyAlignment="1" applyProtection="1">
      <alignment vertical="top"/>
    </xf>
    <xf numFmtId="165" fontId="0" fillId="0" borderId="12" xfId="0" applyNumberFormat="1" applyBorder="1" applyAlignment="1">
      <alignment vertical="top"/>
    </xf>
    <xf numFmtId="165" fontId="0" fillId="0" borderId="20" xfId="0" applyNumberFormat="1" applyBorder="1" applyAlignment="1">
      <alignment vertical="top"/>
    </xf>
    <xf numFmtId="167" fontId="25" fillId="36" borderId="10" xfId="1" applyNumberFormat="1" applyFont="1" applyFill="1" applyBorder="1" applyAlignment="1" applyProtection="1">
      <alignment horizontal="right" vertical="top"/>
    </xf>
    <xf numFmtId="0" fontId="28" fillId="37" borderId="15" xfId="0" applyFont="1" applyFill="1" applyBorder="1" applyAlignment="1">
      <alignment horizontal="left"/>
    </xf>
    <xf numFmtId="0" fontId="29" fillId="38" borderId="17" xfId="0" applyFont="1" applyFill="1" applyBorder="1" applyAlignment="1">
      <alignment horizontal="right"/>
    </xf>
    <xf numFmtId="165" fontId="0" fillId="0" borderId="18" xfId="0" applyNumberFormat="1" applyFill="1" applyBorder="1" applyAlignment="1"/>
    <xf numFmtId="0" fontId="16" fillId="34" borderId="17" xfId="0" applyFont="1" applyFill="1" applyBorder="1" applyAlignment="1">
      <alignment horizontal="right"/>
    </xf>
    <xf numFmtId="171" fontId="0" fillId="0" borderId="0" xfId="3" applyNumberFormat="1" applyFont="1" applyBorder="1"/>
    <xf numFmtId="171" fontId="0" fillId="0" borderId="18" xfId="3" applyNumberFormat="1" applyFont="1" applyBorder="1"/>
    <xf numFmtId="164" fontId="0" fillId="0" borderId="18" xfId="0" applyNumberFormat="1" applyFill="1" applyBorder="1" applyAlignment="1"/>
    <xf numFmtId="0" fontId="29" fillId="38" borderId="19" xfId="0" applyFont="1" applyFill="1" applyBorder="1" applyAlignment="1">
      <alignment horizontal="right"/>
    </xf>
    <xf numFmtId="0" fontId="29" fillId="38" borderId="15" xfId="0" applyFont="1" applyFill="1" applyBorder="1" applyAlignment="1">
      <alignment horizontal="right"/>
    </xf>
    <xf numFmtId="165" fontId="0" fillId="0" borderId="11" xfId="0" applyNumberFormat="1" applyFill="1" applyBorder="1" applyAlignment="1"/>
    <xf numFmtId="165" fontId="0" fillId="0" borderId="16" xfId="0" applyNumberFormat="1" applyFill="1" applyBorder="1" applyAlignment="1"/>
    <xf numFmtId="9" fontId="0" fillId="0" borderId="12" xfId="3" applyFont="1" applyFill="1" applyBorder="1" applyAlignment="1"/>
    <xf numFmtId="9" fontId="0" fillId="0" borderId="20" xfId="3" applyFont="1" applyFill="1" applyBorder="1" applyAlignment="1"/>
    <xf numFmtId="44" fontId="0" fillId="0" borderId="0" xfId="0" applyNumberFormat="1"/>
    <xf numFmtId="0" fontId="26" fillId="37" borderId="11" xfId="0" applyFont="1" applyFill="1" applyBorder="1" applyAlignment="1">
      <alignment horizontal="center"/>
    </xf>
    <xf numFmtId="0" fontId="26" fillId="37" borderId="16" xfId="0" applyFont="1" applyFill="1" applyBorder="1" applyAlignment="1">
      <alignment horizontal="center"/>
    </xf>
    <xf numFmtId="165" fontId="17" fillId="33" borderId="10" xfId="1" applyNumberFormat="1" applyFont="1" applyFill="1" applyBorder="1" applyAlignment="1">
      <alignment vertical="top"/>
    </xf>
    <xf numFmtId="0" fontId="0" fillId="34" borderId="27" xfId="0" applyFill="1" applyBorder="1" applyAlignment="1">
      <alignment horizontal="right" vertical="top"/>
    </xf>
    <xf numFmtId="0" fontId="0" fillId="34" borderId="18" xfId="0" applyFill="1" applyBorder="1" applyAlignment="1">
      <alignment horizontal="right" vertical="top"/>
    </xf>
    <xf numFmtId="171" fontId="0" fillId="34" borderId="20" xfId="3" applyNumberFormat="1" applyFont="1" applyFill="1" applyBorder="1" applyAlignment="1">
      <alignment horizontal="right" vertical="top"/>
    </xf>
    <xf numFmtId="9" fontId="0" fillId="34" borderId="18" xfId="3" applyFont="1" applyFill="1" applyBorder="1" applyAlignment="1">
      <alignment horizontal="right" vertical="top"/>
    </xf>
    <xf numFmtId="171" fontId="0" fillId="34" borderId="28" xfId="3" applyNumberFormat="1" applyFont="1" applyFill="1" applyBorder="1" applyAlignment="1">
      <alignment horizontal="right" vertical="top"/>
    </xf>
    <xf numFmtId="167" fontId="24" fillId="0" borderId="37" xfId="1" applyNumberFormat="1" applyFont="1" applyFill="1" applyBorder="1" applyAlignment="1" applyProtection="1">
      <alignment horizontal="right" vertical="top"/>
    </xf>
    <xf numFmtId="44" fontId="1" fillId="34" borderId="23" xfId="2" applyFont="1" applyFill="1" applyBorder="1" applyAlignment="1">
      <alignment vertical="top"/>
    </xf>
    <xf numFmtId="165" fontId="24" fillId="0" borderId="38" xfId="1" applyNumberFormat="1" applyFont="1" applyFill="1" applyBorder="1" applyAlignment="1" applyProtection="1">
      <alignment horizontal="left" vertical="top"/>
    </xf>
    <xf numFmtId="165" fontId="24" fillId="0" borderId="18" xfId="1" applyNumberFormat="1" applyFont="1" applyFill="1" applyBorder="1" applyAlignment="1" applyProtection="1">
      <alignment horizontal="left" vertical="top"/>
    </xf>
    <xf numFmtId="165" fontId="25" fillId="36" borderId="19" xfId="1" applyNumberFormat="1" applyFont="1" applyFill="1" applyBorder="1" applyAlignment="1" applyProtection="1">
      <alignment horizontal="right" vertical="top"/>
    </xf>
    <xf numFmtId="165" fontId="24" fillId="0" borderId="20" xfId="1" applyNumberFormat="1" applyFont="1" applyFill="1" applyBorder="1" applyAlignment="1" applyProtection="1">
      <alignment horizontal="left" vertical="top"/>
    </xf>
    <xf numFmtId="10" fontId="24" fillId="0" borderId="0" xfId="3" applyNumberFormat="1" applyFont="1" applyFill="1" applyBorder="1" applyAlignment="1" applyProtection="1">
      <alignment horizontal="right" vertical="top"/>
    </xf>
    <xf numFmtId="0" fontId="0" fillId="0" borderId="17" xfId="0" applyBorder="1" applyAlignment="1">
      <alignment vertical="top" wrapText="1"/>
    </xf>
    <xf numFmtId="0" fontId="0" fillId="0" borderId="0" xfId="0" applyBorder="1" applyAlignment="1">
      <alignment vertical="top"/>
    </xf>
    <xf numFmtId="44" fontId="31" fillId="0" borderId="17" xfId="0" applyNumberFormat="1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17" fillId="33" borderId="15" xfId="0" applyFont="1" applyFill="1" applyBorder="1" applyAlignment="1">
      <alignment vertical="top"/>
    </xf>
    <xf numFmtId="0" fontId="17" fillId="33" borderId="16" xfId="0" applyFont="1" applyFill="1" applyBorder="1" applyAlignment="1">
      <alignment vertical="top"/>
    </xf>
    <xf numFmtId="9" fontId="16" fillId="0" borderId="11" xfId="3" applyFont="1" applyFill="1" applyBorder="1" applyAlignment="1"/>
    <xf numFmtId="0" fontId="24" fillId="34" borderId="41" xfId="0" applyFont="1" applyFill="1" applyBorder="1" applyAlignment="1" applyProtection="1">
      <alignment horizontal="right" vertical="top"/>
    </xf>
    <xf numFmtId="0" fontId="24" fillId="0" borderId="37" xfId="0" applyFont="1" applyFill="1" applyBorder="1" applyAlignment="1" applyProtection="1">
      <alignment horizontal="right" vertical="top"/>
    </xf>
    <xf numFmtId="165" fontId="24" fillId="0" borderId="38" xfId="1" applyNumberFormat="1" applyFont="1" applyFill="1" applyBorder="1" applyAlignment="1" applyProtection="1">
      <alignment horizontal="right" vertical="top"/>
    </xf>
    <xf numFmtId="0" fontId="0" fillId="34" borderId="24" xfId="0" applyFill="1" applyBorder="1" applyAlignment="1">
      <alignment vertical="top"/>
    </xf>
    <xf numFmtId="0" fontId="17" fillId="33" borderId="16" xfId="0" applyFont="1" applyFill="1" applyBorder="1" applyAlignment="1">
      <alignment vertical="top" wrapText="1"/>
    </xf>
    <xf numFmtId="171" fontId="0" fillId="0" borderId="11" xfId="0" applyNumberFormat="1" applyBorder="1" applyAlignment="1">
      <alignment vertical="top"/>
    </xf>
    <xf numFmtId="171" fontId="0" fillId="0" borderId="16" xfId="0" applyNumberFormat="1" applyBorder="1" applyAlignment="1">
      <alignment vertical="top"/>
    </xf>
    <xf numFmtId="171" fontId="0" fillId="0" borderId="0" xfId="0" applyNumberFormat="1" applyBorder="1" applyAlignment="1">
      <alignment vertical="top"/>
    </xf>
    <xf numFmtId="171" fontId="0" fillId="0" borderId="18" xfId="0" applyNumberFormat="1" applyBorder="1" applyAlignment="1">
      <alignment vertical="top"/>
    </xf>
    <xf numFmtId="171" fontId="0" fillId="0" borderId="14" xfId="0" applyNumberFormat="1" applyBorder="1" applyAlignment="1">
      <alignment vertical="top"/>
    </xf>
    <xf numFmtId="171" fontId="0" fillId="0" borderId="25" xfId="0" applyNumberFormat="1" applyBorder="1" applyAlignment="1">
      <alignment vertical="top"/>
    </xf>
    <xf numFmtId="171" fontId="0" fillId="0" borderId="0" xfId="3" applyNumberFormat="1" applyFont="1" applyBorder="1" applyAlignment="1">
      <alignment vertical="top"/>
    </xf>
    <xf numFmtId="171" fontId="0" fillId="0" borderId="18" xfId="3" applyNumberFormat="1" applyFont="1" applyBorder="1" applyAlignment="1">
      <alignment vertical="top"/>
    </xf>
    <xf numFmtId="171" fontId="0" fillId="0" borderId="12" xfId="3" applyNumberFormat="1" applyFont="1" applyBorder="1" applyAlignment="1">
      <alignment vertical="top"/>
    </xf>
    <xf numFmtId="171" fontId="0" fillId="0" borderId="20" xfId="3" applyNumberFormat="1" applyFont="1" applyBorder="1" applyAlignment="1">
      <alignment vertical="top"/>
    </xf>
    <xf numFmtId="0" fontId="16" fillId="0" borderId="0" xfId="0" applyFont="1" applyAlignment="1">
      <alignment vertical="top"/>
    </xf>
    <xf numFmtId="0" fontId="17" fillId="33" borderId="15" xfId="44" applyFont="1" applyFill="1" applyBorder="1" applyAlignment="1">
      <alignment horizontal="center" vertical="top"/>
    </xf>
    <xf numFmtId="0" fontId="23" fillId="33" borderId="11" xfId="44" applyFont="1" applyFill="1" applyBorder="1" applyAlignment="1">
      <alignment horizontal="center" vertical="top"/>
    </xf>
    <xf numFmtId="0" fontId="17" fillId="33" borderId="11" xfId="44" applyFont="1" applyFill="1" applyBorder="1" applyAlignment="1">
      <alignment horizontal="center" vertical="top"/>
    </xf>
    <xf numFmtId="167" fontId="23" fillId="33" borderId="16" xfId="45" applyNumberFormat="1" applyFont="1" applyFill="1" applyBorder="1" applyAlignment="1">
      <alignment horizontal="center" vertical="top"/>
    </xf>
    <xf numFmtId="167" fontId="23" fillId="33" borderId="21" xfId="45" applyNumberFormat="1" applyFont="1" applyFill="1" applyBorder="1" applyAlignment="1">
      <alignment horizontal="center" vertical="top"/>
    </xf>
    <xf numFmtId="167" fontId="17" fillId="33" borderId="0" xfId="0" applyNumberFormat="1" applyFont="1" applyFill="1" applyAlignment="1">
      <alignment vertical="top"/>
    </xf>
    <xf numFmtId="0" fontId="19" fillId="35" borderId="15" xfId="44" applyFont="1" applyFill="1" applyBorder="1" applyAlignment="1">
      <alignment horizontal="center" vertical="top"/>
    </xf>
    <xf numFmtId="9" fontId="18" fillId="0" borderId="11" xfId="3" applyFont="1" applyBorder="1" applyAlignment="1">
      <alignment vertical="top"/>
    </xf>
    <xf numFmtId="9" fontId="19" fillId="0" borderId="11" xfId="3" applyFont="1" applyFill="1" applyBorder="1" applyAlignment="1">
      <alignment vertical="top"/>
    </xf>
    <xf numFmtId="9" fontId="19" fillId="0" borderId="11" xfId="3" applyNumberFormat="1" applyFont="1" applyFill="1" applyBorder="1" applyAlignment="1">
      <alignment horizontal="center" vertical="top"/>
    </xf>
    <xf numFmtId="9" fontId="18" fillId="0" borderId="16" xfId="3" applyFont="1" applyBorder="1" applyAlignment="1">
      <alignment vertical="top"/>
    </xf>
    <xf numFmtId="9" fontId="0" fillId="34" borderId="16" xfId="3" applyFont="1" applyFill="1" applyBorder="1" applyAlignment="1">
      <alignment horizontal="right" vertical="top"/>
    </xf>
    <xf numFmtId="0" fontId="19" fillId="35" borderId="17" xfId="44" applyFont="1" applyFill="1" applyBorder="1" applyAlignment="1">
      <alignment horizontal="center" vertical="top"/>
    </xf>
    <xf numFmtId="9" fontId="18" fillId="0" borderId="0" xfId="3" applyFont="1" applyBorder="1" applyAlignment="1">
      <alignment vertical="top"/>
    </xf>
    <xf numFmtId="9" fontId="19" fillId="0" borderId="0" xfId="3" applyFont="1" applyFill="1" applyBorder="1" applyAlignment="1">
      <alignment vertical="top"/>
    </xf>
    <xf numFmtId="9" fontId="19" fillId="0" borderId="0" xfId="3" applyNumberFormat="1" applyFont="1" applyFill="1" applyBorder="1" applyAlignment="1">
      <alignment horizontal="center" vertical="top"/>
    </xf>
    <xf numFmtId="9" fontId="18" fillId="0" borderId="18" xfId="3" applyFont="1" applyBorder="1" applyAlignment="1">
      <alignment vertical="top"/>
    </xf>
    <xf numFmtId="0" fontId="19" fillId="35" borderId="24" xfId="44" applyFont="1" applyFill="1" applyBorder="1" applyAlignment="1">
      <alignment horizontal="center" vertical="top"/>
    </xf>
    <xf numFmtId="9" fontId="18" fillId="0" borderId="14" xfId="3" applyFont="1" applyBorder="1" applyAlignment="1">
      <alignment vertical="top"/>
    </xf>
    <xf numFmtId="9" fontId="19" fillId="0" borderId="14" xfId="3" applyFont="1" applyFill="1" applyBorder="1" applyAlignment="1">
      <alignment vertical="top"/>
    </xf>
    <xf numFmtId="9" fontId="19" fillId="0" borderId="14" xfId="3" applyNumberFormat="1" applyFont="1" applyFill="1" applyBorder="1" applyAlignment="1">
      <alignment horizontal="center" vertical="top"/>
    </xf>
    <xf numFmtId="9" fontId="18" fillId="0" borderId="25" xfId="3" applyFont="1" applyBorder="1" applyAlignment="1">
      <alignment vertical="top"/>
    </xf>
    <xf numFmtId="9" fontId="0" fillId="34" borderId="25" xfId="3" applyFont="1" applyFill="1" applyBorder="1" applyAlignment="1">
      <alignment horizontal="right" vertical="top"/>
    </xf>
    <xf numFmtId="0" fontId="19" fillId="35" borderId="19" xfId="44" applyFont="1" applyFill="1" applyBorder="1" applyAlignment="1">
      <alignment horizontal="center" vertical="top"/>
    </xf>
    <xf numFmtId="9" fontId="18" fillId="0" borderId="12" xfId="3" applyFont="1" applyBorder="1" applyAlignment="1">
      <alignment vertical="top"/>
    </xf>
    <xf numFmtId="9" fontId="19" fillId="0" borderId="12" xfId="3" applyFont="1" applyFill="1" applyBorder="1" applyAlignment="1">
      <alignment vertical="top"/>
    </xf>
    <xf numFmtId="9" fontId="19" fillId="0" borderId="12" xfId="3" applyNumberFormat="1" applyFont="1" applyFill="1" applyBorder="1" applyAlignment="1">
      <alignment horizontal="center" vertical="top"/>
    </xf>
    <xf numFmtId="9" fontId="18" fillId="0" borderId="20" xfId="3" applyFont="1" applyBorder="1" applyAlignment="1">
      <alignment vertical="top"/>
    </xf>
    <xf numFmtId="171" fontId="0" fillId="0" borderId="12" xfId="0" applyNumberFormat="1" applyBorder="1" applyAlignment="1">
      <alignment vertical="top"/>
    </xf>
    <xf numFmtId="9" fontId="0" fillId="34" borderId="20" xfId="3" applyFont="1" applyFill="1" applyBorder="1" applyAlignment="1">
      <alignment horizontal="right" vertical="top"/>
    </xf>
    <xf numFmtId="0" fontId="19" fillId="35" borderId="17" xfId="44" applyFont="1" applyFill="1" applyBorder="1" applyAlignment="1">
      <alignment horizontal="right" vertical="top"/>
    </xf>
    <xf numFmtId="9" fontId="19" fillId="0" borderId="0" xfId="3" applyFont="1" applyBorder="1" applyAlignment="1">
      <alignment horizontal="center" vertical="top"/>
    </xf>
    <xf numFmtId="9" fontId="0" fillId="0" borderId="40" xfId="0" applyNumberFormat="1" applyBorder="1" applyAlignment="1">
      <alignment vertical="top"/>
    </xf>
    <xf numFmtId="9" fontId="18" fillId="0" borderId="39" xfId="3" applyFont="1" applyBorder="1" applyAlignment="1">
      <alignment vertical="top"/>
    </xf>
    <xf numFmtId="9" fontId="19" fillId="0" borderId="39" xfId="3" applyFont="1" applyBorder="1" applyAlignment="1">
      <alignment horizontal="center" vertical="top"/>
    </xf>
    <xf numFmtId="0" fontId="23" fillId="39" borderId="19" xfId="44" applyFont="1" applyFill="1" applyBorder="1" applyAlignment="1">
      <alignment horizontal="right" vertical="top"/>
    </xf>
    <xf numFmtId="0" fontId="23" fillId="39" borderId="12" xfId="44" applyFont="1" applyFill="1" applyBorder="1" applyAlignment="1">
      <alignment horizontal="center" vertical="top"/>
    </xf>
    <xf numFmtId="170" fontId="23" fillId="39" borderId="12" xfId="44" applyNumberFormat="1" applyFont="1" applyFill="1" applyBorder="1" applyAlignment="1">
      <alignment horizontal="center" vertical="top"/>
    </xf>
    <xf numFmtId="167" fontId="23" fillId="39" borderId="20" xfId="45" applyNumberFormat="1" applyFont="1" applyFill="1" applyBorder="1" applyAlignment="1">
      <alignment horizontal="center" vertical="top"/>
    </xf>
    <xf numFmtId="0" fontId="19" fillId="0" borderId="0" xfId="44" applyFont="1" applyAlignment="1">
      <alignment vertical="top"/>
    </xf>
    <xf numFmtId="0" fontId="18" fillId="0" borderId="0" xfId="44" applyAlignment="1">
      <alignment vertical="top"/>
    </xf>
    <xf numFmtId="10" fontId="16" fillId="0" borderId="0" xfId="0" applyNumberFormat="1" applyFont="1" applyAlignment="1">
      <alignment vertical="top"/>
    </xf>
    <xf numFmtId="10" fontId="0" fillId="0" borderId="0" xfId="0" applyNumberFormat="1" applyAlignment="1">
      <alignment vertical="top"/>
    </xf>
    <xf numFmtId="9" fontId="0" fillId="0" borderId="0" xfId="0" applyNumberFormat="1" applyAlignment="1">
      <alignment vertical="top"/>
    </xf>
    <xf numFmtId="0" fontId="22" fillId="0" borderId="0" xfId="56" applyAlignment="1">
      <alignment vertical="top"/>
    </xf>
    <xf numFmtId="0" fontId="0" fillId="34" borderId="21" xfId="0" applyFill="1" applyBorder="1" applyAlignment="1">
      <alignment vertical="top"/>
    </xf>
    <xf numFmtId="0" fontId="0" fillId="34" borderId="22" xfId="0" applyFill="1" applyBorder="1" applyAlignment="1">
      <alignment vertical="top"/>
    </xf>
    <xf numFmtId="0" fontId="0" fillId="34" borderId="42" xfId="0" applyFill="1" applyBorder="1" applyAlignment="1">
      <alignment vertical="top"/>
    </xf>
    <xf numFmtId="0" fontId="0" fillId="34" borderId="23" xfId="0" applyFill="1" applyBorder="1" applyAlignment="1">
      <alignment vertical="top"/>
    </xf>
    <xf numFmtId="171" fontId="0" fillId="0" borderId="43" xfId="0" applyNumberFormat="1" applyBorder="1" applyAlignment="1">
      <alignment vertical="top"/>
    </xf>
    <xf numFmtId="171" fontId="0" fillId="0" borderId="44" xfId="0" applyNumberFormat="1" applyBorder="1" applyAlignment="1">
      <alignment vertical="top"/>
    </xf>
    <xf numFmtId="173" fontId="0" fillId="0" borderId="0" xfId="0" applyNumberFormat="1" applyAlignment="1">
      <alignment vertical="top"/>
    </xf>
    <xf numFmtId="165" fontId="25" fillId="36" borderId="10" xfId="1" applyNumberFormat="1" applyFont="1" applyFill="1" applyBorder="1" applyAlignment="1" applyProtection="1">
      <alignment horizontal="right" vertical="top" wrapText="1"/>
    </xf>
    <xf numFmtId="9" fontId="0" fillId="0" borderId="0" xfId="3" applyFont="1"/>
    <xf numFmtId="171" fontId="18" fillId="0" borderId="0" xfId="3" applyNumberFormat="1" applyFont="1" applyBorder="1" applyAlignment="1">
      <alignment vertical="top"/>
    </xf>
    <xf numFmtId="9" fontId="0" fillId="0" borderId="0" xfId="3" applyFont="1" applyAlignment="1">
      <alignment vertical="top"/>
    </xf>
    <xf numFmtId="165" fontId="0" fillId="0" borderId="0" xfId="0" applyNumberFormat="1" applyAlignment="1">
      <alignment vertical="top"/>
    </xf>
    <xf numFmtId="9" fontId="19" fillId="0" borderId="12" xfId="3" applyFont="1" applyFill="1" applyBorder="1" applyAlignment="1">
      <alignment horizontal="center" vertical="top"/>
    </xf>
    <xf numFmtId="9" fontId="19" fillId="0" borderId="11" xfId="3" applyFont="1" applyFill="1" applyBorder="1" applyAlignment="1">
      <alignment horizontal="center" vertical="top"/>
    </xf>
    <xf numFmtId="171" fontId="18" fillId="0" borderId="11" xfId="3" applyNumberFormat="1" applyFont="1" applyBorder="1" applyAlignment="1">
      <alignment vertical="top"/>
    </xf>
    <xf numFmtId="171" fontId="19" fillId="0" borderId="11" xfId="3" applyNumberFormat="1" applyFont="1" applyFill="1" applyBorder="1" applyAlignment="1">
      <alignment vertical="top"/>
    </xf>
    <xf numFmtId="171" fontId="19" fillId="0" borderId="0" xfId="3" applyNumberFormat="1" applyFont="1" applyFill="1" applyBorder="1" applyAlignment="1">
      <alignment vertical="top"/>
    </xf>
    <xf numFmtId="171" fontId="18" fillId="0" borderId="14" xfId="3" applyNumberFormat="1" applyFont="1" applyBorder="1" applyAlignment="1">
      <alignment vertical="top"/>
    </xf>
    <xf numFmtId="171" fontId="19" fillId="0" borderId="14" xfId="3" applyNumberFormat="1" applyFont="1" applyFill="1" applyBorder="1" applyAlignment="1">
      <alignment vertical="top"/>
    </xf>
    <xf numFmtId="171" fontId="18" fillId="0" borderId="12" xfId="3" applyNumberFormat="1" applyFont="1" applyBorder="1" applyAlignment="1">
      <alignment vertical="top"/>
    </xf>
    <xf numFmtId="171" fontId="19" fillId="0" borderId="12" xfId="3" applyNumberFormat="1" applyFont="1" applyFill="1" applyBorder="1" applyAlignment="1">
      <alignment vertical="top"/>
    </xf>
    <xf numFmtId="9" fontId="0" fillId="34" borderId="17" xfId="0" applyNumberFormat="1" applyFill="1" applyBorder="1" applyAlignment="1">
      <alignment vertical="top"/>
    </xf>
    <xf numFmtId="9" fontId="18" fillId="0" borderId="22" xfId="3" applyFont="1" applyBorder="1" applyAlignment="1">
      <alignment vertical="top"/>
    </xf>
    <xf numFmtId="9" fontId="18" fillId="0" borderId="23" xfId="3" applyFont="1" applyBorder="1" applyAlignment="1">
      <alignment vertical="top"/>
    </xf>
    <xf numFmtId="9" fontId="18" fillId="0" borderId="42" xfId="3" applyFont="1" applyBorder="1" applyAlignment="1">
      <alignment vertical="top"/>
    </xf>
    <xf numFmtId="9" fontId="0" fillId="34" borderId="10" xfId="0" applyNumberFormat="1" applyFill="1" applyBorder="1" applyAlignment="1">
      <alignment vertical="top"/>
    </xf>
    <xf numFmtId="9" fontId="0" fillId="0" borderId="16" xfId="3" applyFont="1" applyBorder="1" applyAlignment="1">
      <alignment vertical="top"/>
    </xf>
    <xf numFmtId="167" fontId="23" fillId="33" borderId="11" xfId="45" applyNumberFormat="1" applyFont="1" applyFill="1" applyBorder="1" applyAlignment="1">
      <alignment horizontal="left" vertical="top"/>
    </xf>
    <xf numFmtId="9" fontId="0" fillId="34" borderId="19" xfId="0" applyNumberFormat="1" applyFill="1" applyBorder="1" applyAlignment="1">
      <alignment vertical="top"/>
    </xf>
    <xf numFmtId="0" fontId="17" fillId="33" borderId="11" xfId="0" applyFont="1" applyFill="1" applyBorder="1" applyAlignment="1">
      <alignment vertical="top"/>
    </xf>
    <xf numFmtId="0" fontId="17" fillId="33" borderId="17" xfId="0" applyFont="1" applyFill="1" applyBorder="1" applyAlignment="1">
      <alignment vertical="top"/>
    </xf>
    <xf numFmtId="0" fontId="17" fillId="33" borderId="0" xfId="0" applyFont="1" applyFill="1" applyBorder="1" applyAlignment="1">
      <alignment vertical="top"/>
    </xf>
    <xf numFmtId="0" fontId="17" fillId="33" borderId="18" xfId="0" applyFont="1" applyFill="1" applyBorder="1" applyAlignment="1">
      <alignment vertical="top"/>
    </xf>
    <xf numFmtId="9" fontId="0" fillId="0" borderId="0" xfId="0" applyNumberFormat="1" applyBorder="1" applyAlignment="1">
      <alignment vertical="top"/>
    </xf>
    <xf numFmtId="9" fontId="0" fillId="0" borderId="12" xfId="0" applyNumberFormat="1" applyBorder="1" applyAlignment="1">
      <alignment vertical="top"/>
    </xf>
    <xf numFmtId="0" fontId="0" fillId="0" borderId="12" xfId="0" applyBorder="1" applyAlignment="1">
      <alignment vertical="top"/>
    </xf>
  </cellXfs>
  <cellStyles count="57">
    <cellStyle name="20% - Accent1" xfId="21" builtinId="30" customBuiltin="1"/>
    <cellStyle name="20% - Accent2" xfId="25" builtinId="34" customBuiltin="1"/>
    <cellStyle name="20% - Accent3" xfId="29" builtinId="38" customBuiltin="1"/>
    <cellStyle name="20% - Accent4" xfId="33" builtinId="42" customBuiltin="1"/>
    <cellStyle name="20% - Accent5" xfId="37" builtinId="46" customBuiltin="1"/>
    <cellStyle name="20% - Accent6" xfId="41" builtinId="50" customBuiltin="1"/>
    <cellStyle name="40% - Accent1" xfId="22" builtinId="31" customBuiltin="1"/>
    <cellStyle name="40% - Accent2" xfId="26" builtinId="35" customBuiltin="1"/>
    <cellStyle name="40% - Accent3" xfId="30" builtinId="39" customBuiltin="1"/>
    <cellStyle name="40% - Accent4" xfId="34" builtinId="43" customBuiltin="1"/>
    <cellStyle name="40% - Accent5" xfId="38" builtinId="47" customBuiltin="1"/>
    <cellStyle name="40% - Accent6" xfId="42" builtinId="51" customBuiltin="1"/>
    <cellStyle name="60% - Accent1" xfId="23" builtinId="32" customBuiltin="1"/>
    <cellStyle name="60% - Accent2" xfId="27" builtinId="36" customBuiltin="1"/>
    <cellStyle name="60% - Accent3" xfId="31" builtinId="40" customBuiltin="1"/>
    <cellStyle name="60% - Accent4" xfId="35" builtinId="44" customBuiltin="1"/>
    <cellStyle name="60% - Accent5" xfId="39" builtinId="48" customBuiltin="1"/>
    <cellStyle name="60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Bad" xfId="10" builtinId="27" customBuiltin="1"/>
    <cellStyle name="Calculation" xfId="14" builtinId="22" customBuiltin="1"/>
    <cellStyle name="Check Cell" xfId="16" builtinId="23" customBuiltin="1"/>
    <cellStyle name="Comma" xfId="1" builtinId="3"/>
    <cellStyle name="Comma 2" xfId="45"/>
    <cellStyle name="Currency" xfId="2" builtinId="4"/>
    <cellStyle name="Currency 2" xfId="46"/>
    <cellStyle name="Currency 2 2" xfId="47"/>
    <cellStyle name="Excel Built-in Comma" xfId="48"/>
    <cellStyle name="Excel Built-in Hyperlink" xfId="49"/>
    <cellStyle name="Excel Built-in Normal" xfId="50"/>
    <cellStyle name="Explanatory Text" xfId="18" builtinId="53" customBuiltin="1"/>
    <cellStyle name="Good" xfId="9" builtinId="26" customBuiltin="1"/>
    <cellStyle name="Heading 1" xfId="5" builtinId="16" customBuiltin="1"/>
    <cellStyle name="Heading 2" xfId="6" builtinId="17" customBuiltin="1"/>
    <cellStyle name="Heading 3" xfId="7" builtinId="18" customBuiltin="1"/>
    <cellStyle name="Heading 4" xfId="8" builtinId="19" customBuiltin="1"/>
    <cellStyle name="Hyperlink" xfId="56" builtinId="8"/>
    <cellStyle name="Hyperlink 2" xfId="51"/>
    <cellStyle name="Input" xfId="12" builtinId="20" customBuiltin="1"/>
    <cellStyle name="Linked Cell" xfId="15" builtinId="24" customBuiltin="1"/>
    <cellStyle name="Neutral" xfId="11" builtinId="28" customBuiltin="1"/>
    <cellStyle name="Normal" xfId="0" builtinId="0"/>
    <cellStyle name="Normal 2" xfId="52"/>
    <cellStyle name="Normal 3" xfId="44"/>
    <cellStyle name="Normal 5" xfId="53"/>
    <cellStyle name="Note 2" xfId="54"/>
    <cellStyle name="Output" xfId="13" builtinId="21" customBuiltin="1"/>
    <cellStyle name="Percent" xfId="3" builtinId="5"/>
    <cellStyle name="Percent 2" xfId="55"/>
    <cellStyle name="Title" xfId="4" builtinId="15" customBuiltin="1"/>
    <cellStyle name="Total" xfId="19" builtinId="25" customBuiltin="1"/>
    <cellStyle name="Warning Text" xfId="17" builtinId="11" customBuiltin="1"/>
  </cellStyles>
  <dxfs count="1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6" tint="0.5999633777886288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font>
        <color theme="1"/>
      </font>
    </dxf>
    <dxf>
      <font>
        <color theme="0"/>
      </font>
    </dxf>
    <dxf>
      <font>
        <color theme="1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/>
            </a:pPr>
            <a:r>
              <a:rPr lang="en-GB" sz="1100"/>
              <a:t>Est Clicks and Revenue per Position</a:t>
            </a:r>
          </a:p>
        </c:rich>
      </c:tx>
      <c:layout/>
      <c:overlay val="1"/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'Scenario Summary'!$A$11</c:f>
              <c:strCache>
                <c:ptCount val="1"/>
                <c:pt idx="0">
                  <c:v>% Increase in Revenue</c:v>
                </c:pt>
              </c:strCache>
            </c:strRef>
          </c:tx>
          <c:dPt>
            <c:idx val="0"/>
            <c:marker>
              <c:symbol val="none"/>
            </c:marker>
            <c:bubble3D val="0"/>
          </c:dPt>
          <c:dPt>
            <c:idx val="1"/>
            <c:bubble3D val="0"/>
            <c:spPr>
              <a:ln>
                <a:noFill/>
              </a:ln>
            </c:spPr>
          </c:dPt>
          <c:cat>
            <c:numRef>
              <c:f>'Scenario Summary'!$B$1:$K$1</c:f>
              <c:numCache>
                <c:formatCode>General</c:formatCode>
                <c:ptCount val="10"/>
                <c:pt idx="0">
                  <c:v>10</c:v>
                </c:pt>
                <c:pt idx="1">
                  <c:v>9</c:v>
                </c:pt>
                <c:pt idx="2">
                  <c:v>8</c:v>
                </c:pt>
                <c:pt idx="3">
                  <c:v>7</c:v>
                </c:pt>
                <c:pt idx="4">
                  <c:v>6</c:v>
                </c:pt>
                <c:pt idx="5">
                  <c:v>5</c:v>
                </c:pt>
                <c:pt idx="6">
                  <c:v>4</c:v>
                </c:pt>
                <c:pt idx="7">
                  <c:v>3</c:v>
                </c:pt>
                <c:pt idx="8">
                  <c:v>2</c:v>
                </c:pt>
                <c:pt idx="9">
                  <c:v>1</c:v>
                </c:pt>
              </c:numCache>
            </c:numRef>
          </c:cat>
          <c:val>
            <c:numRef>
              <c:f>'Scenario Summary'!$B$11:$K$11</c:f>
              <c:numCache>
                <c:formatCode>0%</c:formatCode>
                <c:ptCount val="10"/>
                <c:pt idx="0">
                  <c:v>0</c:v>
                </c:pt>
                <c:pt idx="1">
                  <c:v>7.3529411764705732E-2</c:v>
                </c:pt>
                <c:pt idx="2">
                  <c:v>0.16438356164383586</c:v>
                </c:pt>
                <c:pt idx="3">
                  <c:v>0.152941176470588</c:v>
                </c:pt>
                <c:pt idx="4">
                  <c:v>0.12244897959183673</c:v>
                </c:pt>
                <c:pt idx="5">
                  <c:v>0.20000000000000018</c:v>
                </c:pt>
                <c:pt idx="6">
                  <c:v>0.34848484848484829</c:v>
                </c:pt>
                <c:pt idx="7">
                  <c:v>0.42696629213483145</c:v>
                </c:pt>
                <c:pt idx="8">
                  <c:v>0.35039370078740156</c:v>
                </c:pt>
                <c:pt idx="9">
                  <c:v>1.3819241982507293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844032"/>
        <c:axId val="118854016"/>
      </c:lineChart>
      <c:lineChart>
        <c:grouping val="standard"/>
        <c:varyColors val="0"/>
        <c:ser>
          <c:idx val="0"/>
          <c:order val="1"/>
          <c:tx>
            <c:strRef>
              <c:f>'Scenario Summary'!$A$9</c:f>
              <c:strCache>
                <c:ptCount val="1"/>
                <c:pt idx="0">
                  <c:v>Revenue</c:v>
                </c:pt>
              </c:strCache>
            </c:strRef>
          </c:tx>
          <c:val>
            <c:numRef>
              <c:f>'Scenario Summary'!$B$9:$K$9</c:f>
              <c:numCache>
                <c:formatCode>_-"£"* #,##0_-;\-"£"* #,##0_-;_-"£"* "-"??_-;_-@_-</c:formatCode>
                <c:ptCount val="10"/>
                <c:pt idx="0">
                  <c:v>53856.000000000007</c:v>
                </c:pt>
                <c:pt idx="1">
                  <c:v>57816</c:v>
                </c:pt>
                <c:pt idx="2">
                  <c:v>67320.000000000015</c:v>
                </c:pt>
                <c:pt idx="3">
                  <c:v>77616</c:v>
                </c:pt>
                <c:pt idx="4">
                  <c:v>87120</c:v>
                </c:pt>
                <c:pt idx="5">
                  <c:v>104544.00000000001</c:v>
                </c:pt>
                <c:pt idx="6">
                  <c:v>140976</c:v>
                </c:pt>
                <c:pt idx="7">
                  <c:v>201168</c:v>
                </c:pt>
                <c:pt idx="8">
                  <c:v>271656</c:v>
                </c:pt>
                <c:pt idx="9">
                  <c:v>647064.00000000012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861824"/>
        <c:axId val="118855936"/>
      </c:lineChart>
      <c:catAx>
        <c:axId val="118844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endParaRPr lang="en-US"/>
          </a:p>
        </c:txPr>
        <c:crossAx val="118854016"/>
        <c:crosses val="autoZero"/>
        <c:auto val="1"/>
        <c:lblAlgn val="ctr"/>
        <c:lblOffset val="100"/>
        <c:noMultiLvlLbl val="0"/>
      </c:catAx>
      <c:valAx>
        <c:axId val="118854016"/>
        <c:scaling>
          <c:orientation val="minMax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Clciks</a:t>
                </a:r>
              </a:p>
            </c:rich>
          </c:tx>
          <c:layout/>
          <c:overlay val="0"/>
        </c:title>
        <c:numFmt formatCode="0%" sourceLinked="1"/>
        <c:majorTickMark val="none"/>
        <c:minorTickMark val="none"/>
        <c:tickLblPos val="nextTo"/>
        <c:crossAx val="118844032"/>
        <c:crosses val="autoZero"/>
        <c:crossBetween val="between"/>
      </c:valAx>
      <c:valAx>
        <c:axId val="118855936"/>
        <c:scaling>
          <c:orientation val="minMax"/>
        </c:scaling>
        <c:delete val="0"/>
        <c:axPos val="r"/>
        <c:numFmt formatCode="_-&quot;£&quot;* #,##0_-;\-&quot;£&quot;* #,##0_-;_-&quot;£&quot;* &quot;-&quot;??_-;_-@_-" sourceLinked="1"/>
        <c:majorTickMark val="out"/>
        <c:minorTickMark val="none"/>
        <c:tickLblPos val="nextTo"/>
        <c:crossAx val="118861824"/>
        <c:crosses val="max"/>
        <c:crossBetween val="between"/>
      </c:valAx>
      <c:catAx>
        <c:axId val="118861824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Rank</a:t>
                </a:r>
              </a:p>
            </c:rich>
          </c:tx>
          <c:layout/>
          <c:overlay val="0"/>
        </c:title>
        <c:majorTickMark val="out"/>
        <c:minorTickMark val="none"/>
        <c:tickLblPos val="none"/>
        <c:crossAx val="118855936"/>
        <c:crosses val="autoZero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CTR by Position</a:t>
            </a:r>
          </a:p>
        </c:rich>
      </c:tx>
      <c:layout/>
      <c:overlay val="0"/>
    </c:title>
    <c:autoTitleDeleted val="0"/>
    <c:plotArea>
      <c:layout/>
      <c:areaChart>
        <c:grouping val="standard"/>
        <c:varyColors val="0"/>
        <c:ser>
          <c:idx val="5"/>
          <c:order val="5"/>
          <c:tx>
            <c:strRef>
              <c:f>'lookup CTR per position'!$K$40</c:f>
              <c:strCache>
                <c:ptCount val="1"/>
                <c:pt idx="0">
                  <c:v>EyeBall Impresson</c:v>
                </c:pt>
              </c:strCache>
            </c:strRef>
          </c:tx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val>
            <c:numRef>
              <c:f>'lookup CTR per position'!$N$45:$N$50</c:f>
              <c:numCache>
                <c:formatCode>0%</c:formatCode>
                <c:ptCount val="6"/>
                <c:pt idx="0">
                  <c:v>0.5</c:v>
                </c:pt>
                <c:pt idx="1">
                  <c:v>0.6</c:v>
                </c:pt>
                <c:pt idx="2">
                  <c:v>0.85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980160"/>
        <c:axId val="133978368"/>
      </c:areaChart>
      <c:lineChart>
        <c:grouping val="standard"/>
        <c:varyColors val="0"/>
        <c:ser>
          <c:idx val="0"/>
          <c:order val="0"/>
          <c:tx>
            <c:strRef>
              <c:f>'lookup CTR per position'!$C$2</c:f>
              <c:strCache>
                <c:ptCount val="1"/>
                <c:pt idx="0">
                  <c:v>Slingshot</c:v>
                </c:pt>
              </c:strCache>
            </c:strRef>
          </c:tx>
          <c:marker>
            <c:symbol val="none"/>
          </c:marker>
          <c:cat>
            <c:numRef>
              <c:f>'lookup CTR per position'!$A$3:$A$7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'lookup CTR per position'!$C$3:$C$7</c:f>
              <c:numCache>
                <c:formatCode>0.0%</c:formatCode>
                <c:ptCount val="5"/>
                <c:pt idx="0">
                  <c:v>0.182</c:v>
                </c:pt>
                <c:pt idx="1">
                  <c:v>0.10099999999999999</c:v>
                </c:pt>
                <c:pt idx="2">
                  <c:v>7.2000000000000008E-2</c:v>
                </c:pt>
                <c:pt idx="3">
                  <c:v>4.8000000000000001E-2</c:v>
                </c:pt>
                <c:pt idx="4">
                  <c:v>3.1E-2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'lookup CTR per position'!$D$2</c:f>
              <c:strCache>
                <c:ptCount val="1"/>
                <c:pt idx="0">
                  <c:v>Optify</c:v>
                </c:pt>
              </c:strCache>
            </c:strRef>
          </c:tx>
          <c:marker>
            <c:symbol val="none"/>
          </c:marker>
          <c:cat>
            <c:numRef>
              <c:f>'lookup CTR per position'!$A$3:$A$7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'lookup CTR per position'!$D$3:$D$7</c:f>
              <c:numCache>
                <c:formatCode>0.0%</c:formatCode>
                <c:ptCount val="5"/>
                <c:pt idx="0">
                  <c:v>0.36399999999999999</c:v>
                </c:pt>
                <c:pt idx="1">
                  <c:v>0.125</c:v>
                </c:pt>
                <c:pt idx="2">
                  <c:v>9.5000000000000001E-2</c:v>
                </c:pt>
                <c:pt idx="3">
                  <c:v>7.9000000000000001E-2</c:v>
                </c:pt>
                <c:pt idx="4">
                  <c:v>6.0999999999999999E-2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'lookup CTR per position'!$E$2</c:f>
              <c:strCache>
                <c:ptCount val="1"/>
                <c:pt idx="0">
                  <c:v>Enquiro</c:v>
                </c:pt>
              </c:strCache>
            </c:strRef>
          </c:tx>
          <c:marker>
            <c:symbol val="none"/>
          </c:marker>
          <c:cat>
            <c:numRef>
              <c:f>'lookup CTR per position'!$A$3:$A$7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'lookup CTR per position'!$E$3:$E$7</c:f>
              <c:numCache>
                <c:formatCode>0.0%</c:formatCode>
                <c:ptCount val="5"/>
                <c:pt idx="0">
                  <c:v>0.27100000000000002</c:v>
                </c:pt>
                <c:pt idx="1">
                  <c:v>0.11699999999999999</c:v>
                </c:pt>
                <c:pt idx="2">
                  <c:v>8.6999999999999994E-2</c:v>
                </c:pt>
                <c:pt idx="3">
                  <c:v>5.0999999999999997E-2</c:v>
                </c:pt>
                <c:pt idx="4">
                  <c:v>0.04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'lookup CTR per position'!$I$2</c:f>
              <c:strCache>
                <c:ptCount val="1"/>
                <c:pt idx="0">
                  <c:v>Linear</c:v>
                </c:pt>
              </c:strCache>
            </c:strRef>
          </c:tx>
          <c:spPr>
            <a:ln>
              <a:noFill/>
            </a:ln>
          </c:spPr>
          <c:marker>
            <c:symbol val="none"/>
          </c:marker>
          <c:trendline>
            <c:trendlineType val="linear"/>
            <c:dispRSqr val="0"/>
            <c:dispEq val="0"/>
          </c:trendline>
          <c:cat>
            <c:numRef>
              <c:f>'lookup CTR per position'!$A$3:$A$7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'lookup CTR per position'!$I$3:$I$7</c:f>
              <c:numCache>
                <c:formatCode>0%</c:formatCode>
                <c:ptCount val="5"/>
                <c:pt idx="0">
                  <c:v>0.27233333333333337</c:v>
                </c:pt>
                <c:pt idx="1">
                  <c:v>0.17701666666666671</c:v>
                </c:pt>
                <c:pt idx="2">
                  <c:v>0.11506083333333336</c:v>
                </c:pt>
                <c:pt idx="3">
                  <c:v>7.4789541666666681E-2</c:v>
                </c:pt>
                <c:pt idx="4">
                  <c:v>4.8613202083333341E-2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'lookup CTR per position'!$F$2</c:f>
              <c:strCache>
                <c:ptCount val="1"/>
                <c:pt idx="0">
                  <c:v>AOL</c:v>
                </c:pt>
              </c:strCache>
            </c:strRef>
          </c:tx>
          <c:marker>
            <c:symbol val="none"/>
          </c:marker>
          <c:cat>
            <c:numRef>
              <c:f>'lookup CTR per position'!$A$3:$A$7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cat>
          <c:val>
            <c:numRef>
              <c:f>'lookup CTR per position'!$F$3:$F$7</c:f>
              <c:numCache>
                <c:formatCode>0.0%</c:formatCode>
                <c:ptCount val="5"/>
                <c:pt idx="0">
                  <c:v>0.42100000000000004</c:v>
                </c:pt>
                <c:pt idx="1">
                  <c:v>0.11900000000000001</c:v>
                </c:pt>
                <c:pt idx="2">
                  <c:v>8.5000000000000006E-2</c:v>
                </c:pt>
                <c:pt idx="3">
                  <c:v>6.0999999999999999E-2</c:v>
                </c:pt>
                <c:pt idx="4">
                  <c:v>4.9000000000000002E-2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3966848"/>
        <c:axId val="133976832"/>
      </c:lineChart>
      <c:catAx>
        <c:axId val="133966848"/>
        <c:scaling>
          <c:orientation val="maxMin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a:defRPr>
            </a:pPr>
            <a:endParaRPr lang="en-US"/>
          </a:p>
        </c:txPr>
        <c:crossAx val="133976832"/>
        <c:crosses val="autoZero"/>
        <c:auto val="1"/>
        <c:lblAlgn val="ctr"/>
        <c:lblOffset val="100"/>
        <c:noMultiLvlLbl val="0"/>
      </c:catAx>
      <c:valAx>
        <c:axId val="133976832"/>
        <c:scaling>
          <c:orientation val="minMax"/>
          <c:min val="0"/>
        </c:scaling>
        <c:delete val="0"/>
        <c:axPos val="r"/>
        <c:majorGridlines/>
        <c:numFmt formatCode="0%" sourceLinked="0"/>
        <c:majorTickMark val="out"/>
        <c:minorTickMark val="none"/>
        <c:tickLblPos val="high"/>
        <c:crossAx val="133966848"/>
        <c:crosses val="autoZero"/>
        <c:crossBetween val="between"/>
      </c:valAx>
      <c:valAx>
        <c:axId val="133978368"/>
        <c:scaling>
          <c:orientation val="minMax"/>
          <c:max val="1"/>
          <c:min val="0"/>
        </c:scaling>
        <c:delete val="0"/>
        <c:axPos val="r"/>
        <c:numFmt formatCode="0%" sourceLinked="1"/>
        <c:majorTickMark val="out"/>
        <c:minorTickMark val="none"/>
        <c:tickLblPos val="nextTo"/>
        <c:crossAx val="133980160"/>
        <c:crosses val="max"/>
        <c:crossBetween val="between"/>
      </c:valAx>
      <c:catAx>
        <c:axId val="133980160"/>
        <c:scaling>
          <c:orientation val="minMax"/>
        </c:scaling>
        <c:delete val="1"/>
        <c:axPos val="b"/>
        <c:majorTickMark val="out"/>
        <c:minorTickMark val="none"/>
        <c:tickLblPos val="nextTo"/>
        <c:crossAx val="133978368"/>
        <c:crosses val="autoZero"/>
        <c:auto val="1"/>
        <c:lblAlgn val="ctr"/>
        <c:lblOffset val="100"/>
        <c:noMultiLvlLbl val="0"/>
      </c:catAx>
    </c:plotArea>
    <c:legend>
      <c:legendPos val="r"/>
      <c:legendEntry>
        <c:idx val="4"/>
        <c:delete val="1"/>
      </c:legendEntry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jpg"/><Relationship Id="rId3" Type="http://schemas.openxmlformats.org/officeDocument/2006/relationships/hyperlink" Target="http://www.seoresearcher.com/distribution-of-clicks-on-googles-serps-and-eye-tracking-analysis.htm" TargetMode="External"/><Relationship Id="rId7" Type="http://schemas.openxmlformats.org/officeDocument/2006/relationships/image" Target="../media/image4.gif"/><Relationship Id="rId2" Type="http://schemas.openxmlformats.org/officeDocument/2006/relationships/image" Target="../media/image1.png"/><Relationship Id="rId1" Type="http://schemas.openxmlformats.org/officeDocument/2006/relationships/hyperlink" Target="http://econsultancy.com/uk/blog/8146-google-ctr-study-top-three-positions-deliver-35-of-traffic" TargetMode="External"/><Relationship Id="rId6" Type="http://schemas.openxmlformats.org/officeDocument/2006/relationships/chart" Target="../charts/chart2.xml"/><Relationship Id="rId5" Type="http://schemas.openxmlformats.org/officeDocument/2006/relationships/image" Target="../media/image3.jp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203442</xdr:colOff>
      <xdr:row>69</xdr:row>
      <xdr:rowOff>22808</xdr:rowOff>
    </xdr:from>
    <xdr:to>
      <xdr:col>0</xdr:col>
      <xdr:colOff>2159656</xdr:colOff>
      <xdr:row>73</xdr:row>
      <xdr:rowOff>167616</xdr:rowOff>
    </xdr:to>
    <xdr:sp macro="" textlink="" fLocksText="0">
      <xdr:nvSpPr>
        <xdr:cNvPr id="2" name="Folded Corner 17"/>
        <xdr:cNvSpPr>
          <a:spLocks noChangeArrowheads="1"/>
        </xdr:cNvSpPr>
      </xdr:nvSpPr>
      <xdr:spPr bwMode="auto">
        <a:xfrm rot="1080000">
          <a:off x="203442" y="11100383"/>
          <a:ext cx="1956214" cy="906808"/>
        </a:xfrm>
        <a:prstGeom prst="foldedCorner">
          <a:avLst>
            <a:gd name="adj" fmla="val 12500"/>
          </a:avLst>
        </a:prstGeom>
        <a:solidFill>
          <a:srgbClr val="FFFF99"/>
        </a:solidFill>
        <a:ln w="3240">
          <a:solidFill>
            <a:srgbClr val="808080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t" upright="1"/>
        <a:lstStyle/>
        <a:p>
          <a:pPr algn="l" rtl="0">
            <a:defRPr sz="1000"/>
          </a:pPr>
          <a:r>
            <a:rPr lang="en-GB" sz="1100" b="0" i="0" u="none" strike="noStrike" baseline="0">
              <a:solidFill>
                <a:srgbClr val="000000"/>
              </a:solidFill>
              <a:latin typeface="+mn-lt"/>
              <a:cs typeface="Calibri"/>
            </a:rPr>
            <a:t>Should Seasonality be accounted for?</a:t>
          </a:r>
          <a:endParaRPr lang="en-GB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0</xdr:col>
      <xdr:colOff>236626</xdr:colOff>
      <xdr:row>34</xdr:row>
      <xdr:rowOff>61895</xdr:rowOff>
    </xdr:from>
    <xdr:to>
      <xdr:col>1</xdr:col>
      <xdr:colOff>179422</xdr:colOff>
      <xdr:row>40</xdr:row>
      <xdr:rowOff>181714</xdr:rowOff>
    </xdr:to>
    <xdr:sp macro="" textlink="" fLocksText="0">
      <xdr:nvSpPr>
        <xdr:cNvPr id="3" name="Folded Corner 17"/>
        <xdr:cNvSpPr>
          <a:spLocks noChangeArrowheads="1"/>
        </xdr:cNvSpPr>
      </xdr:nvSpPr>
      <xdr:spPr bwMode="auto">
        <a:xfrm rot="1080000">
          <a:off x="236626" y="7310420"/>
          <a:ext cx="1304871" cy="1262819"/>
        </a:xfrm>
        <a:prstGeom prst="foldedCorner">
          <a:avLst>
            <a:gd name="adj" fmla="val 12500"/>
          </a:avLst>
        </a:prstGeom>
        <a:solidFill>
          <a:srgbClr val="FFFF99"/>
        </a:solidFill>
        <a:ln w="3240">
          <a:solidFill>
            <a:srgbClr val="808080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t" upright="1"/>
        <a:lstStyle/>
        <a:p>
          <a:pPr algn="l" rtl="0">
            <a:defRPr sz="1000"/>
          </a:pPr>
          <a:r>
            <a:rPr lang="en-GB" sz="1100" b="0" i="0" u="none" strike="noStrike" baseline="0">
              <a:solidFill>
                <a:srgbClr val="000000"/>
              </a:solidFill>
              <a:latin typeface="+mn-lt"/>
              <a:cs typeface="Calibri"/>
            </a:rPr>
            <a:t>Generic &amp; Informational Queries have stronger CTR in top3 positions. </a:t>
          </a:r>
          <a:endParaRPr lang="en-GB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0</xdr:col>
      <xdr:colOff>236627</xdr:colOff>
      <xdr:row>21</xdr:row>
      <xdr:rowOff>128570</xdr:rowOff>
    </xdr:from>
    <xdr:to>
      <xdr:col>1</xdr:col>
      <xdr:colOff>179423</xdr:colOff>
      <xdr:row>28</xdr:row>
      <xdr:rowOff>38839</xdr:rowOff>
    </xdr:to>
    <xdr:sp macro="" textlink="" fLocksText="0">
      <xdr:nvSpPr>
        <xdr:cNvPr id="4" name="Folded Corner 17"/>
        <xdr:cNvSpPr>
          <a:spLocks noChangeArrowheads="1"/>
        </xdr:cNvSpPr>
      </xdr:nvSpPr>
      <xdr:spPr bwMode="auto">
        <a:xfrm rot="1080000">
          <a:off x="236627" y="4691045"/>
          <a:ext cx="1304871" cy="1262819"/>
        </a:xfrm>
        <a:prstGeom prst="foldedCorner">
          <a:avLst>
            <a:gd name="adj" fmla="val 12500"/>
          </a:avLst>
        </a:prstGeom>
        <a:solidFill>
          <a:srgbClr val="FFFF99"/>
        </a:solidFill>
        <a:ln w="3240">
          <a:solidFill>
            <a:srgbClr val="808080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t" upright="1"/>
        <a:lstStyle/>
        <a:p>
          <a:pPr algn="l" rtl="0">
            <a:defRPr sz="1000"/>
          </a:pPr>
          <a:endParaRPr lang="en-GB" sz="1100" b="0" i="0" u="none" strike="noStrike" baseline="0">
            <a:solidFill>
              <a:srgbClr val="000000"/>
            </a:solidFill>
            <a:latin typeface="+mn-lt"/>
            <a:cs typeface="Calibri"/>
          </a:endParaRPr>
        </a:p>
        <a:p>
          <a:pPr algn="l" rtl="0">
            <a:defRPr sz="1000"/>
          </a:pPr>
          <a:r>
            <a:rPr lang="en-GB" sz="1100" b="0" i="0" u="none" strike="noStrike" baseline="0">
              <a:solidFill>
                <a:srgbClr val="000000"/>
              </a:solidFill>
              <a:latin typeface="+mn-lt"/>
              <a:cs typeface="Calibri"/>
            </a:rPr>
            <a:t>Avg excludes AOL  </a:t>
          </a:r>
          <a:endParaRPr lang="en-GB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0</xdr:col>
      <xdr:colOff>217575</xdr:colOff>
      <xdr:row>47</xdr:row>
      <xdr:rowOff>42846</xdr:rowOff>
    </xdr:from>
    <xdr:to>
      <xdr:col>1</xdr:col>
      <xdr:colOff>160371</xdr:colOff>
      <xdr:row>53</xdr:row>
      <xdr:rowOff>162665</xdr:rowOff>
    </xdr:to>
    <xdr:sp macro="" textlink="" fLocksText="0">
      <xdr:nvSpPr>
        <xdr:cNvPr id="5" name="Folded Corner 17"/>
        <xdr:cNvSpPr>
          <a:spLocks noChangeArrowheads="1"/>
        </xdr:cNvSpPr>
      </xdr:nvSpPr>
      <xdr:spPr bwMode="auto">
        <a:xfrm rot="1080000">
          <a:off x="217575" y="9805971"/>
          <a:ext cx="1304871" cy="1262819"/>
        </a:xfrm>
        <a:prstGeom prst="foldedCorner">
          <a:avLst>
            <a:gd name="adj" fmla="val 12500"/>
          </a:avLst>
        </a:prstGeom>
        <a:solidFill>
          <a:srgbClr val="FFFF99"/>
        </a:solidFill>
        <a:ln w="3240">
          <a:solidFill>
            <a:srgbClr val="808080"/>
          </a:solidFill>
          <a:round/>
          <a:headEnd/>
          <a:tailEnd/>
        </a:ln>
        <a:effectLst/>
      </xdr:spPr>
      <xdr:txBody>
        <a:bodyPr vertOverflow="clip" wrap="square" lIns="90000" tIns="45000" rIns="90000" bIns="45000" anchor="t" upright="1"/>
        <a:lstStyle/>
        <a:p>
          <a:pPr algn="l" rtl="0">
            <a:defRPr sz="1000"/>
          </a:pPr>
          <a:r>
            <a:rPr lang="en-GB" sz="1100" b="0" i="0" u="none" strike="noStrike" baseline="0">
              <a:solidFill>
                <a:srgbClr val="000000"/>
              </a:solidFill>
              <a:latin typeface="+mn-lt"/>
              <a:cs typeface="Calibri"/>
            </a:rPr>
            <a:t>Enter your ouwn CTR values here...</a:t>
          </a:r>
          <a:endParaRPr lang="en-GB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1285873</xdr:colOff>
      <xdr:row>12</xdr:row>
      <xdr:rowOff>76199</xdr:rowOff>
    </xdr:from>
    <xdr:to>
      <xdr:col>10</xdr:col>
      <xdr:colOff>704849</xdr:colOff>
      <xdr:row>32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38</xdr:row>
      <xdr:rowOff>28576</xdr:rowOff>
    </xdr:from>
    <xdr:to>
      <xdr:col>6</xdr:col>
      <xdr:colOff>628650</xdr:colOff>
      <xdr:row>48</xdr:row>
      <xdr:rowOff>57150</xdr:rowOff>
    </xdr:to>
    <xdr:pic>
      <xdr:nvPicPr>
        <xdr:cNvPr id="2" name="Pictur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7286626"/>
          <a:ext cx="4800600" cy="19335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257175</xdr:colOff>
      <xdr:row>14</xdr:row>
      <xdr:rowOff>161925</xdr:rowOff>
    </xdr:from>
    <xdr:to>
      <xdr:col>10</xdr:col>
      <xdr:colOff>1209675</xdr:colOff>
      <xdr:row>32</xdr:row>
      <xdr:rowOff>171451</xdr:rowOff>
    </xdr:to>
    <xdr:pic>
      <xdr:nvPicPr>
        <xdr:cNvPr id="4" name="Picture 1639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600" y="2847975"/>
          <a:ext cx="3762375" cy="3438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1209675</xdr:colOff>
      <xdr:row>16</xdr:row>
      <xdr:rowOff>85725</xdr:rowOff>
    </xdr:from>
    <xdr:to>
      <xdr:col>12</xdr:col>
      <xdr:colOff>1638300</xdr:colOff>
      <xdr:row>33</xdr:row>
      <xdr:rowOff>85725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72675" y="3152775"/>
          <a:ext cx="2114550" cy="3238500"/>
        </a:xfrm>
        <a:prstGeom prst="rect">
          <a:avLst/>
        </a:prstGeom>
      </xdr:spPr>
    </xdr:pic>
    <xdr:clientData/>
  </xdr:twoCellAnchor>
  <xdr:twoCellAnchor>
    <xdr:from>
      <xdr:col>0</xdr:col>
      <xdr:colOff>142874</xdr:colOff>
      <xdr:row>15</xdr:row>
      <xdr:rowOff>66674</xdr:rowOff>
    </xdr:from>
    <xdr:to>
      <xdr:col>7</xdr:col>
      <xdr:colOff>209550</xdr:colOff>
      <xdr:row>32</xdr:row>
      <xdr:rowOff>133350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12</xdr:col>
      <xdr:colOff>1409701</xdr:colOff>
      <xdr:row>16</xdr:row>
      <xdr:rowOff>47627</xdr:rowOff>
    </xdr:from>
    <xdr:to>
      <xdr:col>16</xdr:col>
      <xdr:colOff>466725</xdr:colOff>
      <xdr:row>32</xdr:row>
      <xdr:rowOff>76201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58626" y="3114677"/>
          <a:ext cx="2905124" cy="3076574"/>
        </a:xfrm>
        <a:prstGeom prst="rect">
          <a:avLst/>
        </a:prstGeom>
      </xdr:spPr>
    </xdr:pic>
    <xdr:clientData/>
  </xdr:twoCellAnchor>
  <xdr:twoCellAnchor editAs="oneCell">
    <xdr:from>
      <xdr:col>15</xdr:col>
      <xdr:colOff>9525</xdr:colOff>
      <xdr:row>16</xdr:row>
      <xdr:rowOff>38100</xdr:rowOff>
    </xdr:from>
    <xdr:to>
      <xdr:col>17</xdr:col>
      <xdr:colOff>590550</xdr:colOff>
      <xdr:row>34</xdr:row>
      <xdr:rowOff>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96950" y="3105150"/>
          <a:ext cx="2143125" cy="3390900"/>
        </a:xfrm>
        <a:prstGeom prst="rect">
          <a:avLst/>
        </a:prstGeom>
      </xdr:spPr>
    </xdr:pic>
    <xdr:clientData/>
  </xdr:twoCellAnchor>
  <xdr:twoCellAnchor>
    <xdr:from>
      <xdr:col>11</xdr:col>
      <xdr:colOff>1228725</xdr:colOff>
      <xdr:row>32</xdr:row>
      <xdr:rowOff>0</xdr:rowOff>
    </xdr:from>
    <xdr:to>
      <xdr:col>17</xdr:col>
      <xdr:colOff>590550</xdr:colOff>
      <xdr:row>33</xdr:row>
      <xdr:rowOff>180975</xdr:rowOff>
    </xdr:to>
    <xdr:sp macro="" textlink="">
      <xdr:nvSpPr>
        <xdr:cNvPr id="11" name="TextBox 10"/>
        <xdr:cNvSpPr txBox="1"/>
      </xdr:nvSpPr>
      <xdr:spPr>
        <a:xfrm>
          <a:off x="9991725" y="6115050"/>
          <a:ext cx="5848350" cy="371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GB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66674</xdr:rowOff>
    </xdr:from>
    <xdr:to>
      <xdr:col>0</xdr:col>
      <xdr:colOff>6143625</xdr:colOff>
      <xdr:row>49</xdr:row>
      <xdr:rowOff>104775</xdr:rowOff>
    </xdr:to>
    <xdr:sp macro="" textlink="">
      <xdr:nvSpPr>
        <xdr:cNvPr id="2" name="TextBox 1"/>
        <xdr:cNvSpPr txBox="1"/>
      </xdr:nvSpPr>
      <xdr:spPr>
        <a:xfrm>
          <a:off x="85724" y="66674"/>
          <a:ext cx="6057901" cy="93726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Assumtions: CPC average used (e.g 0.40) , not 35% reduction in CPC per position. Hence CPA &amp; ROAS is linear per position.</a:t>
          </a:r>
          <a:endParaRPr lang="en-GB" sz="9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GB" sz="9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GB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Background reading: </a:t>
          </a:r>
          <a:r>
            <a:rPr lang="en-GB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http://training.seobook.com/google-ranking-value</a:t>
          </a:r>
          <a:endParaRPr lang="en-GB" sz="900"/>
        </a:p>
        <a:p>
          <a:endParaRPr lang="en-GB" sz="900"/>
        </a:p>
        <a:p>
          <a:r>
            <a:rPr lang="en-GB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Example  Web App `s </a:t>
          </a:r>
        </a:p>
        <a:p>
          <a:r>
            <a:rPr lang="en-GB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http://www.logantod.com/wp-content/uploads/2010/09/pgm.swf [Cystal reports</a:t>
          </a:r>
          <a:r>
            <a:rPr lang="en-GB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plugin for excel]</a:t>
          </a:r>
          <a:endParaRPr lang="en-GB" sz="9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http://www.howgoodisyourseo.com</a:t>
          </a:r>
          <a:endParaRPr lang="en-GB" sz="900">
            <a:effectLst/>
          </a:endParaRPr>
        </a:p>
        <a:p>
          <a:endParaRPr lang="en-GB" sz="90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How to request Adwords API</a:t>
          </a:r>
          <a:r>
            <a:rPr lang="en-GB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key for MCC. Note: </a:t>
          </a:r>
          <a:r>
            <a:rPr lang="en-GB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1000 per request  =  $0.25</a:t>
          </a:r>
          <a:endParaRPr lang="en-GB" sz="90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900"/>
            <a:t>http://www.wordstream.com/download/docs/obtaining-google-adwords-api-keys.pdf</a:t>
          </a:r>
        </a:p>
        <a:p>
          <a:r>
            <a:rPr lang="en-GB" sz="900"/>
            <a:t>http://code.google.com/apis/adwords/docs/ratesheet.html</a:t>
          </a:r>
        </a:p>
        <a:p>
          <a:r>
            <a:rPr lang="en-GB" sz="900"/>
            <a:t>http://code.google.com/apis/adwords/docs/clientlibraries.html</a:t>
          </a:r>
        </a:p>
        <a:p>
          <a:endParaRPr lang="en-GB" sz="900"/>
        </a:p>
        <a:p>
          <a:r>
            <a:rPr lang="en-GB" sz="900"/>
            <a:t>Example PHP &amp; JavaScript</a:t>
          </a:r>
          <a:r>
            <a:rPr lang="en-GB" sz="900" baseline="0"/>
            <a:t> Libraries</a:t>
          </a:r>
          <a:endParaRPr lang="en-GB" sz="90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http://code.google.com/p/google-api-adwords-php/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900">
              <a:effectLst/>
            </a:rPr>
            <a:t>http://code.google.com/p/google-api-adwords-js/</a:t>
          </a:r>
        </a:p>
        <a:p>
          <a:endParaRPr lang="en-GB" sz="900"/>
        </a:p>
        <a:p>
          <a:pPr eaLnBrk="1" fontAlgn="auto" latinLnBrk="0" hangingPunct="1"/>
          <a:r>
            <a:rPr lang="en-GB" sz="900"/>
            <a:t>Adwords</a:t>
          </a:r>
          <a:r>
            <a:rPr lang="en-GB" sz="900" baseline="0"/>
            <a:t> API examples using Excel (</a:t>
          </a:r>
          <a:r>
            <a:rPr lang="en-GB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Build</a:t>
          </a:r>
          <a:r>
            <a:rPr lang="en-GB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by </a:t>
          </a:r>
          <a:r>
            <a:rPr lang="en-GB" sz="9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Tom Gleeson </a:t>
          </a:r>
          <a:r>
            <a:rPr lang="en-GB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twitter.com/gobansaor from Ireland)</a:t>
          </a:r>
          <a:endParaRPr lang="en-GB" sz="90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900"/>
            <a:t>https://seogadget.co.uk/google-adwords-plugin-excel/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GB" sz="900" baseline="0"/>
        </a:p>
        <a:p>
          <a:r>
            <a:rPr lang="en-GB" sz="900" baseline="0"/>
            <a:t>Tatvic Adwords Excel plugin</a:t>
          </a:r>
        </a:p>
        <a:p>
          <a:r>
            <a:rPr lang="en-GB" sz="900" baseline="0"/>
            <a:t>http://www.tatvic.com/features-adwords-excel-add-in/</a:t>
          </a:r>
        </a:p>
        <a:p>
          <a:endParaRPr lang="en-GB" sz="9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Gazel Adwords Excel plugin (built by Chad Summerhill)</a:t>
          </a:r>
          <a:endParaRPr lang="en-GB" sz="900" baseline="0"/>
        </a:p>
        <a:p>
          <a:r>
            <a:rPr lang="en-GB" sz="900" baseline="0"/>
            <a:t>http://www.gazel.ws/</a:t>
          </a:r>
        </a:p>
        <a:p>
          <a:endParaRPr lang="en-GB" sz="900" baseline="0"/>
        </a:p>
        <a:p>
          <a:r>
            <a:rPr lang="en-GB" sz="900" baseline="0"/>
            <a:t>MSN AdExcelence plugin (Built by MS)</a:t>
          </a:r>
        </a:p>
        <a:p>
          <a:r>
            <a:rPr lang="en-GB" sz="900"/>
            <a:t>http://www.seomoz.org/blog/using-the-adcenter-excel-plugin-for-keyphrase-research</a:t>
          </a:r>
        </a:p>
        <a:p>
          <a:endParaRPr lang="en-GB" sz="900"/>
        </a:p>
        <a:p>
          <a:r>
            <a:rPr lang="en-GB" sz="900"/>
            <a:t>For GA api</a:t>
          </a:r>
          <a:r>
            <a:rPr lang="en-GB" sz="900" baseline="0"/>
            <a:t>  (not adwords) </a:t>
          </a:r>
          <a:r>
            <a:rPr lang="en-GB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excellentanalytics.com &amp; gadatagrabbertool.com</a:t>
          </a:r>
          <a:endParaRPr lang="en-GB" sz="900"/>
        </a:p>
        <a:p>
          <a:endParaRPr lang="en-GB" sz="900" baseline="0"/>
        </a:p>
        <a:p>
          <a:r>
            <a:rPr lang="en-GB" sz="900" baseline="0"/>
            <a:t>SpeedPPC video: http://www.youtube.com/watch?v=pj6d9Ha232E</a:t>
          </a:r>
        </a:p>
        <a:p>
          <a:r>
            <a:rPr lang="en-GB" sz="900"/>
            <a:t>------------------------------</a:t>
          </a:r>
        </a:p>
        <a:p>
          <a:endParaRPr lang="en-GB" sz="900"/>
        </a:p>
        <a:p>
          <a:r>
            <a:rPr lang="en-GB" sz="900"/>
            <a:t>rankingreach.com</a:t>
          </a:r>
        </a:p>
        <a:p>
          <a:endParaRPr lang="en-GB" sz="900"/>
        </a:p>
        <a:p>
          <a:r>
            <a:rPr lang="en-GB" sz="900"/>
            <a:t>simple web app</a:t>
          </a:r>
        </a:p>
        <a:p>
          <a:r>
            <a:rPr lang="en-GB" sz="900"/>
            <a:t>get something live. </a:t>
          </a:r>
        </a:p>
        <a:p>
          <a:r>
            <a:rPr lang="en-GB" sz="900"/>
            <a:t>free version, then paid version with small monthly fee and see how things go from there.</a:t>
          </a:r>
        </a:p>
        <a:p>
          <a:endParaRPr lang="en-GB" sz="900"/>
        </a:p>
        <a:p>
          <a:r>
            <a:rPr lang="en-GB" sz="900"/>
            <a:t>web app will allow users to </a:t>
          </a:r>
        </a:p>
        <a:p>
          <a:r>
            <a:rPr lang="en-GB" sz="900"/>
            <a:t>* enter keywords which they are SEO optimising with their rank position</a:t>
          </a:r>
        </a:p>
        <a:p>
          <a:r>
            <a:rPr lang="en-GB" sz="900"/>
            <a:t>* how much reach they can attain based on Google organic Local Monthly search </a:t>
          </a:r>
        </a:p>
        <a:p>
          <a:r>
            <a:rPr lang="en-GB" sz="900"/>
            <a:t>* using different CTR ranking case scenarios </a:t>
          </a:r>
        </a:p>
        <a:p>
          <a:r>
            <a:rPr lang="en-GB" sz="900"/>
            <a:t>aol data</a:t>
          </a:r>
        </a:p>
        <a:p>
          <a:r>
            <a:rPr lang="en-GB" sz="900"/>
            <a:t>slingshot data</a:t>
          </a:r>
        </a:p>
        <a:p>
          <a:r>
            <a:rPr lang="en-GB" sz="900"/>
            <a:t>average of all</a:t>
          </a:r>
        </a:p>
        <a:p>
          <a:r>
            <a:rPr lang="en-GB" sz="900"/>
            <a:t>or a manual set</a:t>
          </a:r>
        </a:p>
        <a:p>
          <a:endParaRPr lang="en-GB" sz="900"/>
        </a:p>
        <a:p>
          <a:r>
            <a:rPr lang="en-GB" sz="900"/>
            <a:t>Settings:</a:t>
          </a:r>
        </a:p>
        <a:p>
          <a:r>
            <a:rPr lang="en-GB" sz="900"/>
            <a:t>Converion Rate</a:t>
          </a:r>
        </a:p>
        <a:p>
          <a:r>
            <a:rPr lang="en-GB" sz="900"/>
            <a:t>ARPU (aka RPV)</a:t>
          </a:r>
        </a:p>
        <a:p>
          <a:r>
            <a:rPr lang="en-GB" sz="900"/>
            <a:t>= ££ data for gap analysis on potential revenues, which will be the paid part. </a:t>
          </a:r>
        </a:p>
        <a:p>
          <a:endParaRPr lang="en-GB" sz="900"/>
        </a:p>
        <a:p>
          <a:r>
            <a:rPr lang="en-GB" sz="900"/>
            <a:t>This should churn out a nice looking report for agencies/SEO freelancers/Marketer's to include in their proposals.</a:t>
          </a:r>
        </a:p>
        <a:p>
          <a:endParaRPr lang="en-GB" sz="900"/>
        </a:p>
        <a:p>
          <a:endParaRPr lang="en-GB" sz="900"/>
        </a:p>
        <a:p>
          <a:r>
            <a:rPr lang="en-GB" sz="900"/>
            <a:t>Start by developing the spreadsheet model and then hiring some programmers to code up the web app. </a:t>
          </a:r>
        </a:p>
        <a:p>
          <a:endParaRPr lang="en-GB" sz="900"/>
        </a:p>
        <a:p>
          <a:r>
            <a:rPr lang="en-GB" sz="900"/>
            <a:t>It will be a nice tool to make for the SEO/Marketing community and possibly the start of many more projects to come for us.</a:t>
          </a:r>
        </a:p>
        <a:p>
          <a:endParaRPr lang="en-GB" sz="900"/>
        </a:p>
        <a:p>
          <a:r>
            <a:rPr lang="en-GB" sz="900"/>
            <a:t>Would be interesting to know what API's google has that we could use? Also are there any ranking API's?</a:t>
          </a:r>
        </a:p>
        <a:p>
          <a:endParaRPr lang="en-GB" sz="900"/>
        </a:p>
        <a:p>
          <a:r>
            <a:rPr lang="en-GB" sz="900"/>
            <a:t>Anyhow let me know your thoughts.</a:t>
          </a:r>
        </a:p>
        <a:p>
          <a:endParaRPr lang="en-GB" sz="900"/>
        </a:p>
        <a:p>
          <a:endParaRPr lang="en-GB" sz="9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eyetools.com/research_google_eyetracking_heatmap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workbookViewId="0">
      <selection activeCell="D3" sqref="D3"/>
    </sheetView>
  </sheetViews>
  <sheetFormatPr defaultRowHeight="15" x14ac:dyDescent="0.25"/>
  <cols>
    <col min="1" max="1" width="20.42578125" style="1" bestFit="1" customWidth="1"/>
    <col min="2" max="2" width="25.28515625" style="1" customWidth="1"/>
    <col min="3" max="3" width="15.85546875" style="1" customWidth="1"/>
    <col min="4" max="4" width="14.42578125" style="1" customWidth="1"/>
    <col min="5" max="5" width="2.5703125" style="1" customWidth="1"/>
    <col min="6" max="6" width="22.7109375" style="1" customWidth="1"/>
    <col min="7" max="7" width="22.5703125" style="1" customWidth="1"/>
    <col min="8" max="8" width="16" style="1" bestFit="1" customWidth="1"/>
    <col min="9" max="9" width="44.7109375" style="34" customWidth="1"/>
    <col min="10" max="10" width="14.7109375" style="1" customWidth="1"/>
    <col min="11" max="11" width="12" style="1" bestFit="1" customWidth="1"/>
    <col min="12" max="16384" width="9.140625" style="1"/>
  </cols>
  <sheetData>
    <row r="1" spans="1:11" x14ac:dyDescent="0.25">
      <c r="A1" s="52" t="s">
        <v>67</v>
      </c>
      <c r="B1" s="112" t="s">
        <v>29</v>
      </c>
    </row>
    <row r="2" spans="1:11" ht="30" x14ac:dyDescent="0.25">
      <c r="A2" s="179" t="s">
        <v>79</v>
      </c>
      <c r="B2" s="113">
        <v>1000000</v>
      </c>
    </row>
    <row r="3" spans="1:11" x14ac:dyDescent="0.25">
      <c r="A3" s="53" t="s">
        <v>63</v>
      </c>
      <c r="B3" s="99" t="s">
        <v>66</v>
      </c>
      <c r="C3" s="51"/>
    </row>
    <row r="4" spans="1:11" x14ac:dyDescent="0.25">
      <c r="A4" s="53" t="s">
        <v>64</v>
      </c>
      <c r="B4" s="100" t="s">
        <v>65</v>
      </c>
      <c r="C4" s="51"/>
    </row>
    <row r="5" spans="1:11" x14ac:dyDescent="0.25">
      <c r="A5" s="101" t="s">
        <v>77</v>
      </c>
      <c r="B5" s="100" t="s">
        <v>78</v>
      </c>
      <c r="C5" s="51"/>
    </row>
    <row r="6" spans="1:11" x14ac:dyDescent="0.25">
      <c r="A6" s="101" t="s">
        <v>68</v>
      </c>
      <c r="B6" s="102" t="s">
        <v>69</v>
      </c>
      <c r="C6" s="51"/>
    </row>
    <row r="7" spans="1:11" x14ac:dyDescent="0.25">
      <c r="A7" s="52" t="s">
        <v>70</v>
      </c>
      <c r="B7" s="22" t="s">
        <v>71</v>
      </c>
    </row>
    <row r="8" spans="1:11" x14ac:dyDescent="0.25">
      <c r="B8" s="54"/>
      <c r="C8" s="51"/>
    </row>
    <row r="9" spans="1:11" x14ac:dyDescent="0.25">
      <c r="A9" s="38"/>
      <c r="B9" s="55" t="s">
        <v>51</v>
      </c>
      <c r="C9" s="108" t="s">
        <v>8</v>
      </c>
      <c r="D9" s="109" t="s">
        <v>26</v>
      </c>
      <c r="F9" s="21" t="s">
        <v>48</v>
      </c>
      <c r="G9" s="22" t="s">
        <v>30</v>
      </c>
      <c r="I9" s="1"/>
    </row>
    <row r="10" spans="1:11" x14ac:dyDescent="0.25">
      <c r="B10" s="41">
        <v>5</v>
      </c>
      <c r="C10" s="23">
        <v>1</v>
      </c>
      <c r="D10" s="198">
        <f>VLOOKUP(C10,'lookup CTR per position'!$A$3:$W$12,
VLOOKUP($B$22,$C$22:$D$30,2,FALSE)+1,FALSE)</f>
        <v>0.27233333333333337</v>
      </c>
      <c r="F10" s="21" t="s">
        <v>28</v>
      </c>
      <c r="G10" s="24">
        <v>0.4</v>
      </c>
      <c r="I10" s="1"/>
    </row>
    <row r="11" spans="1:11" ht="30" customHeight="1" x14ac:dyDescent="0.25">
      <c r="C11" s="26">
        <v>2</v>
      </c>
      <c r="D11" s="27">
        <f>VLOOKUP(C11,'lookup CTR per position'!$A$3:$W$12,
VLOOKUP($B$22,$C$22:$D$30,2,FALSE)+1,FALSE)</f>
        <v>0.11433333333333333</v>
      </c>
      <c r="F11" s="28" t="s">
        <v>33</v>
      </c>
      <c r="G11" s="29">
        <v>120</v>
      </c>
      <c r="H11" s="106" t="str">
        <f>IF(G9="ecommerce","Note: RPV will be £" &amp; ROUND(G11*Conv_Rate,2),"")</f>
        <v>Note: RPV will be £2.4</v>
      </c>
      <c r="I11" s="107"/>
    </row>
    <row r="12" spans="1:11" ht="27.75" customHeight="1" x14ac:dyDescent="0.25">
      <c r="C12" s="26">
        <v>3</v>
      </c>
      <c r="D12" s="27">
        <f>VLOOKUP(C12,'lookup CTR per position'!$A$3:$W$12,
VLOOKUP($B$22,$C$22:$D$30,2,FALSE)+1,FALSE)</f>
        <v>8.4666666666666668E-2</v>
      </c>
      <c r="F12" s="25" t="s">
        <v>47</v>
      </c>
      <c r="G12" s="30">
        <v>2.4</v>
      </c>
      <c r="H12" s="104" t="str">
        <f>IF(G9&lt;&gt;"ecommerce","Note: Avg Basket value will be £" &amp; ROUND(G12/Conv_Rate,1),"")</f>
        <v/>
      </c>
      <c r="I12" s="105"/>
    </row>
    <row r="13" spans="1:11" x14ac:dyDescent="0.25">
      <c r="C13" s="26">
        <v>4</v>
      </c>
      <c r="D13" s="27">
        <f>VLOOKUP(C13,'lookup CTR per position'!$A$3:$W$12,
VLOOKUP($B$22,$C$22:$D$30,2,FALSE)+1,FALSE)</f>
        <v>5.9333333333333328E-2</v>
      </c>
      <c r="F13" s="25" t="s">
        <v>49</v>
      </c>
      <c r="G13" s="31">
        <v>0.02</v>
      </c>
      <c r="I13" s="1"/>
    </row>
    <row r="14" spans="1:11" x14ac:dyDescent="0.25">
      <c r="C14" s="26">
        <v>5</v>
      </c>
      <c r="D14" s="27">
        <f>VLOOKUP(C14,'lookup CTR per position'!$A$3:$W$12,
VLOOKUP($B$22,$C$22:$D$30,2,FALSE)+1,FALSE)</f>
        <v>4.4000000000000004E-2</v>
      </c>
      <c r="F14" s="28" t="s">
        <v>47</v>
      </c>
      <c r="G14" s="98">
        <f>IF(G9&lt;&gt;"ecommerce", G12,G11*Conv_Rate)</f>
        <v>2.4</v>
      </c>
      <c r="H14" s="32"/>
      <c r="I14" s="1"/>
    </row>
    <row r="15" spans="1:11" ht="15.75" thickBot="1" x14ac:dyDescent="0.3">
      <c r="A15" s="182"/>
      <c r="C15" s="26">
        <v>6</v>
      </c>
      <c r="D15" s="27">
        <f>VLOOKUP(C15,'lookup CTR per position'!$A$3:$W$12,
VLOOKUP($B$22,$C$22:$D$30,2,FALSE)+1,FALSE)</f>
        <v>3.666666666666666E-2</v>
      </c>
      <c r="I15" s="1"/>
      <c r="K15" s="33"/>
    </row>
    <row r="16" spans="1:11" ht="15.75" thickTop="1" x14ac:dyDescent="0.25">
      <c r="C16" s="26">
        <v>7</v>
      </c>
      <c r="D16" s="27">
        <f>VLOOKUP(C16,'lookup CTR per position'!$A$3:$W$12,
VLOOKUP($B$22,$C$22:$D$30,2,FALSE)+1,FALSE)</f>
        <v>3.2666666666666663E-2</v>
      </c>
      <c r="F16" s="59" t="s">
        <v>27</v>
      </c>
      <c r="G16" s="60">
        <f>Reach</f>
        <v>1000000</v>
      </c>
      <c r="I16" s="1"/>
    </row>
    <row r="17" spans="2:9" x14ac:dyDescent="0.25">
      <c r="C17" s="26">
        <v>8</v>
      </c>
      <c r="D17" s="27">
        <f>VLOOKUP(C17,'lookup CTR per position'!$A$3:$W$12,
VLOOKUP($B$22,$C$22:$D$30,2,FALSE)+1,FALSE)</f>
        <v>2.8333333333333335E-2</v>
      </c>
      <c r="F17" s="61" t="s">
        <v>14</v>
      </c>
      <c r="G17" s="62">
        <f>Reach*H47</f>
        <v>43560.000000000007</v>
      </c>
      <c r="I17" s="1"/>
    </row>
    <row r="18" spans="2:9" x14ac:dyDescent="0.25">
      <c r="C18" s="26">
        <v>9</v>
      </c>
      <c r="D18" s="27">
        <f>VLOOKUP(C18,'lookup CTR per position'!$A$3:$W$12,
VLOOKUP($B$22,$C$22:$D$30,2,FALSE)+1,FALSE)</f>
        <v>2.4333333333333332E-2</v>
      </c>
      <c r="F18" s="61" t="s">
        <v>15</v>
      </c>
      <c r="G18" s="63">
        <f>IFERROR(cpc*Clicks,"")</f>
        <v>17424.000000000004</v>
      </c>
      <c r="I18" s="1"/>
    </row>
    <row r="19" spans="2:9" x14ac:dyDescent="0.25">
      <c r="C19" s="35">
        <v>10</v>
      </c>
      <c r="D19" s="36">
        <f>VLOOKUP(C19,'lookup CTR per position'!$A$3:$W$12,
VLOOKUP($B$22,$C$22:$D$30,2,FALSE)+1,FALSE)</f>
        <v>2.2666666666666668E-2</v>
      </c>
      <c r="F19" s="61" t="s">
        <v>22</v>
      </c>
      <c r="G19" s="62">
        <f>IFERROR(Clicks*Conv_Rate,"")</f>
        <v>871.20000000000016</v>
      </c>
      <c r="I19" s="1"/>
    </row>
    <row r="20" spans="2:9" x14ac:dyDescent="0.25">
      <c r="F20" s="64" t="s">
        <v>23</v>
      </c>
      <c r="G20" s="63">
        <f>Cost/Conversions</f>
        <v>20</v>
      </c>
      <c r="I20" s="1"/>
    </row>
    <row r="21" spans="2:9" x14ac:dyDescent="0.25">
      <c r="B21" s="55" t="s">
        <v>20</v>
      </c>
      <c r="C21" s="3" t="s">
        <v>21</v>
      </c>
      <c r="D21" s="3" t="s">
        <v>19</v>
      </c>
      <c r="F21" s="65" t="s">
        <v>16</v>
      </c>
      <c r="G21" s="63">
        <f>Clicks*RevenuePerVisit</f>
        <v>104544.00000000001</v>
      </c>
      <c r="I21" s="39"/>
    </row>
    <row r="22" spans="2:9" ht="15.75" thickBot="1" x14ac:dyDescent="0.3">
      <c r="B22" s="22" t="s">
        <v>4</v>
      </c>
      <c r="C22" s="23" t="str">
        <f>'lookup CTR per position'!B2</f>
        <v>Avg</v>
      </c>
      <c r="D22" s="40">
        <v>14</v>
      </c>
      <c r="E22" s="183">
        <f>D22-1</f>
        <v>13</v>
      </c>
      <c r="F22" s="66" t="s">
        <v>34</v>
      </c>
      <c r="G22" s="67">
        <f>(RevenuePerVisit-cpc)/cpc</f>
        <v>5</v>
      </c>
    </row>
    <row r="23" spans="2:9" ht="15.75" thickTop="1" x14ac:dyDescent="0.25">
      <c r="C23" s="26" t="str">
        <f>'lookup CTR per position'!C2</f>
        <v>Slingshot</v>
      </c>
      <c r="D23" s="43">
        <f t="shared" ref="D23:D30" si="0">D22+1</f>
        <v>15</v>
      </c>
      <c r="E23" s="183">
        <f t="shared" ref="E23:E30" si="1">D23-1</f>
        <v>14</v>
      </c>
      <c r="H23" s="34"/>
    </row>
    <row r="24" spans="2:9" x14ac:dyDescent="0.25">
      <c r="C24" s="26" t="str">
        <f>'lookup CTR per position'!D2</f>
        <v>Optify</v>
      </c>
      <c r="D24" s="43">
        <f t="shared" si="0"/>
        <v>16</v>
      </c>
      <c r="E24" s="183">
        <f t="shared" si="1"/>
        <v>15</v>
      </c>
      <c r="F24" s="48" t="s">
        <v>38</v>
      </c>
      <c r="G24" s="38"/>
      <c r="H24" s="38"/>
      <c r="I24" s="1"/>
    </row>
    <row r="25" spans="2:9" x14ac:dyDescent="0.25">
      <c r="C25" s="26" t="str">
        <f>'lookup CTR per position'!E2</f>
        <v>Enquiro</v>
      </c>
      <c r="D25" s="43">
        <f t="shared" si="0"/>
        <v>17</v>
      </c>
      <c r="E25" s="183">
        <f t="shared" si="1"/>
        <v>16</v>
      </c>
      <c r="F25" s="41" t="s">
        <v>60</v>
      </c>
      <c r="G25" s="23" t="s">
        <v>60</v>
      </c>
      <c r="H25" s="42">
        <v>0.1</v>
      </c>
    </row>
    <row r="26" spans="2:9" x14ac:dyDescent="0.25">
      <c r="C26" s="26" t="str">
        <f>'lookup CTR per position'!F2</f>
        <v>AOL</v>
      </c>
      <c r="D26" s="43">
        <f t="shared" si="0"/>
        <v>18</v>
      </c>
      <c r="E26" s="183">
        <f t="shared" si="1"/>
        <v>17</v>
      </c>
      <c r="F26" s="44"/>
      <c r="G26" s="26" t="s">
        <v>61</v>
      </c>
      <c r="H26" s="45">
        <v>0.05</v>
      </c>
    </row>
    <row r="27" spans="2:9" x14ac:dyDescent="0.25">
      <c r="C27" s="26" t="str">
        <f>'lookup CTR per position'!G2</f>
        <v>Epiphany (cpc)</v>
      </c>
      <c r="D27" s="43">
        <f t="shared" si="0"/>
        <v>19</v>
      </c>
      <c r="E27" s="183">
        <f t="shared" si="1"/>
        <v>18</v>
      </c>
      <c r="F27" s="34"/>
      <c r="G27" s="26" t="s">
        <v>36</v>
      </c>
      <c r="H27" s="45">
        <v>0</v>
      </c>
    </row>
    <row r="28" spans="2:9" x14ac:dyDescent="0.25">
      <c r="C28" s="26" t="str">
        <f>'lookup CTR per position'!H2</f>
        <v>Accuracast (cpc)</v>
      </c>
      <c r="D28" s="43">
        <f t="shared" si="0"/>
        <v>20</v>
      </c>
      <c r="E28" s="183">
        <f t="shared" si="1"/>
        <v>19</v>
      </c>
      <c r="F28" s="34"/>
      <c r="G28" s="26" t="s">
        <v>59</v>
      </c>
      <c r="H28" s="45">
        <v>-0.05</v>
      </c>
    </row>
    <row r="29" spans="2:9" x14ac:dyDescent="0.25">
      <c r="C29" s="193" t="str">
        <f>'lookup CTR per position'!I2</f>
        <v>Linear</v>
      </c>
      <c r="D29" s="43">
        <f t="shared" si="0"/>
        <v>21</v>
      </c>
      <c r="E29" s="183">
        <f t="shared" si="1"/>
        <v>20</v>
      </c>
      <c r="F29" s="34"/>
      <c r="G29" s="26" t="s">
        <v>62</v>
      </c>
      <c r="H29" s="45">
        <v>-0.1</v>
      </c>
    </row>
    <row r="30" spans="2:9" x14ac:dyDescent="0.25">
      <c r="C30" s="200" t="str">
        <f>'lookup CTR per position'!J2</f>
        <v>Custom</v>
      </c>
      <c r="D30" s="49">
        <f t="shared" si="0"/>
        <v>22</v>
      </c>
      <c r="E30" s="183">
        <f t="shared" si="1"/>
        <v>21</v>
      </c>
      <c r="F30" s="34"/>
      <c r="G30" s="35" t="s">
        <v>37</v>
      </c>
      <c r="H30" s="47">
        <v>-0.1</v>
      </c>
    </row>
    <row r="31" spans="2:9" x14ac:dyDescent="0.25">
      <c r="F31" s="34"/>
    </row>
    <row r="32" spans="2:9" x14ac:dyDescent="0.25">
      <c r="B32" s="37" t="str">
        <f>A7 &amp; " Adjustment"</f>
        <v>Type of SearchQuery Adjustment</v>
      </c>
      <c r="C32" s="3"/>
      <c r="D32" s="3"/>
    </row>
    <row r="33" spans="2:8" ht="30" x14ac:dyDescent="0.25">
      <c r="B33" s="55" t="s">
        <v>24</v>
      </c>
      <c r="C33" s="115" t="str">
        <f>'lookup CTR per position'!L2</f>
        <v>Informational SearchQuery</v>
      </c>
      <c r="D33" s="115" t="str">
        <f>'lookup CTR per position'!M2</f>
        <v>Transactional SearchQuery</v>
      </c>
      <c r="F33" s="37" t="s">
        <v>35</v>
      </c>
      <c r="G33" s="3"/>
      <c r="H33" s="38"/>
    </row>
    <row r="34" spans="2:8" x14ac:dyDescent="0.25">
      <c r="B34" s="172">
        <v>1</v>
      </c>
      <c r="C34" s="116">
        <v>0.05</v>
      </c>
      <c r="D34" s="117">
        <v>-0.02</v>
      </c>
      <c r="F34" s="41" t="str">
        <f>G9</f>
        <v>Ecommerce</v>
      </c>
      <c r="G34" s="23" t="s">
        <v>30</v>
      </c>
      <c r="H34" s="42">
        <v>-0.1</v>
      </c>
    </row>
    <row r="35" spans="2:8" x14ac:dyDescent="0.25">
      <c r="B35" s="173">
        <v>2</v>
      </c>
      <c r="C35" s="118">
        <v>2.5000000000000001E-2</v>
      </c>
      <c r="D35" s="119">
        <v>-0.01</v>
      </c>
      <c r="F35" s="44"/>
      <c r="G35" s="26" t="s">
        <v>31</v>
      </c>
      <c r="H35" s="45">
        <v>-0.08</v>
      </c>
    </row>
    <row r="36" spans="2:8" x14ac:dyDescent="0.25">
      <c r="B36" s="174">
        <v>3</v>
      </c>
      <c r="C36" s="120">
        <v>1.4999999999999999E-2</v>
      </c>
      <c r="D36" s="121">
        <v>-5.0000000000000001E-3</v>
      </c>
      <c r="F36" s="44"/>
      <c r="G36" s="26" t="s">
        <v>32</v>
      </c>
      <c r="H36" s="45">
        <v>-0.05</v>
      </c>
    </row>
    <row r="37" spans="2:8" x14ac:dyDescent="0.25">
      <c r="B37" s="173">
        <v>4</v>
      </c>
      <c r="C37" s="122">
        <v>-2.4303663342702734E-2</v>
      </c>
      <c r="D37" s="123">
        <v>0.02</v>
      </c>
      <c r="F37" s="44"/>
      <c r="G37" s="26" t="s">
        <v>50</v>
      </c>
      <c r="H37" s="46">
        <v>-0.03</v>
      </c>
    </row>
    <row r="38" spans="2:8" x14ac:dyDescent="0.25">
      <c r="B38" s="173">
        <v>5</v>
      </c>
      <c r="C38" s="122">
        <v>-1.9191473989203036E-2</v>
      </c>
      <c r="D38" s="123">
        <v>0.01</v>
      </c>
      <c r="F38" s="34"/>
      <c r="G38" s="35" t="s">
        <v>36</v>
      </c>
      <c r="H38" s="47">
        <v>0</v>
      </c>
    </row>
    <row r="39" spans="2:8" x14ac:dyDescent="0.25">
      <c r="B39" s="173">
        <v>6</v>
      </c>
      <c r="C39" s="122">
        <v>-1.4732506955130266E-2</v>
      </c>
      <c r="D39" s="123">
        <v>5.0000000000000001E-3</v>
      </c>
    </row>
    <row r="40" spans="2:8" x14ac:dyDescent="0.25">
      <c r="B40" s="173">
        <v>7</v>
      </c>
      <c r="C40" s="122">
        <v>-1.1309540961005412E-2</v>
      </c>
      <c r="D40" s="123">
        <v>0</v>
      </c>
      <c r="F40" s="3"/>
      <c r="G40" s="21" t="s">
        <v>24</v>
      </c>
      <c r="H40" s="92">
        <f>rank</f>
        <v>5</v>
      </c>
    </row>
    <row r="41" spans="2:8" x14ac:dyDescent="0.25">
      <c r="B41" s="173">
        <v>8</v>
      </c>
      <c r="C41" s="122">
        <v>-8.6818704473184665E-3</v>
      </c>
      <c r="D41" s="123">
        <v>0</v>
      </c>
      <c r="F41" s="3"/>
      <c r="G41" s="25" t="s">
        <v>40</v>
      </c>
      <c r="H41" s="93" t="str">
        <f>settings!$B$22</f>
        <v>Avg</v>
      </c>
    </row>
    <row r="42" spans="2:8" x14ac:dyDescent="0.25">
      <c r="B42" s="173">
        <v>9</v>
      </c>
      <c r="C42" s="122">
        <v>-6.664715634693715E-3</v>
      </c>
      <c r="D42" s="123">
        <v>0</v>
      </c>
      <c r="F42" s="3"/>
      <c r="G42" s="25" t="s">
        <v>41</v>
      </c>
      <c r="H42" s="94">
        <f>VLOOKUP(H40,'lookup CTR per position'!$A$3:$W$12,
VLOOKUP(H41,settings!$C$22:$D$30,2,FALSE)+1,FALSE)</f>
        <v>4.4000000000000004E-2</v>
      </c>
    </row>
    <row r="43" spans="2:8" x14ac:dyDescent="0.25">
      <c r="B43" s="175">
        <v>10</v>
      </c>
      <c r="C43" s="124">
        <v>-5.1162286699463688E-3</v>
      </c>
      <c r="D43" s="125">
        <v>0</v>
      </c>
      <c r="F43" s="3"/>
      <c r="G43" s="25" t="s">
        <v>42</v>
      </c>
      <c r="H43" s="93" t="str">
        <f>settings!$F$34</f>
        <v>Ecommerce</v>
      </c>
    </row>
    <row r="44" spans="2:8" ht="15.75" thickBot="1" x14ac:dyDescent="0.3">
      <c r="C44" s="176">
        <f>SUM(C34:C43)</f>
        <v>1.0408340855860843E-17</v>
      </c>
      <c r="D44" s="177">
        <f>SUM(D34:D43)</f>
        <v>4.3368086899420177E-18</v>
      </c>
      <c r="F44" s="3"/>
      <c r="G44" s="25" t="s">
        <v>39</v>
      </c>
      <c r="H44" s="94">
        <f>VLOOKUP(H43,settings!$G$34:$H$38,2,FALSE)</f>
        <v>-0.1</v>
      </c>
    </row>
    <row r="45" spans="2:8" ht="15.75" thickTop="1" x14ac:dyDescent="0.25">
      <c r="C45" s="178"/>
      <c r="F45" s="3"/>
      <c r="G45" s="25" t="s">
        <v>43</v>
      </c>
      <c r="H45" s="93" t="str">
        <f>settings!$F$25</f>
        <v>Very Popular Brand</v>
      </c>
    </row>
    <row r="46" spans="2:8" ht="15.75" thickBot="1" x14ac:dyDescent="0.3">
      <c r="B46" s="37" t="s">
        <v>83</v>
      </c>
      <c r="C46" s="130" t="s">
        <v>37</v>
      </c>
      <c r="F46" s="3"/>
      <c r="G46" s="25" t="s">
        <v>44</v>
      </c>
      <c r="H46" s="95">
        <f>VLOOKUP(H45,settings!G25:H30,2,FALSE)</f>
        <v>0.1</v>
      </c>
    </row>
    <row r="47" spans="2:8" ht="15.75" thickTop="1" x14ac:dyDescent="0.25">
      <c r="B47" s="172">
        <v>1</v>
      </c>
      <c r="C47" s="137">
        <v>0.5</v>
      </c>
      <c r="F47" s="3"/>
      <c r="G47" s="28" t="s">
        <v>45</v>
      </c>
      <c r="H47" s="96">
        <f>H42*(100%+H44)*(100%+H46)</f>
        <v>4.3560000000000008E-2</v>
      </c>
    </row>
    <row r="48" spans="2:8" x14ac:dyDescent="0.25">
      <c r="B48" s="173">
        <v>2</v>
      </c>
      <c r="C48" s="143">
        <v>0.25</v>
      </c>
    </row>
    <row r="49" spans="1:4" x14ac:dyDescent="0.25">
      <c r="B49" s="174">
        <v>3</v>
      </c>
      <c r="C49" s="194">
        <v>0.125</v>
      </c>
    </row>
    <row r="50" spans="1:4" x14ac:dyDescent="0.25">
      <c r="B50" s="173">
        <v>4</v>
      </c>
      <c r="C50" s="143">
        <v>6.25E-2</v>
      </c>
      <c r="D50" s="170"/>
    </row>
    <row r="51" spans="1:4" x14ac:dyDescent="0.25">
      <c r="B51" s="173">
        <v>5</v>
      </c>
      <c r="C51" s="143">
        <v>3.125E-2</v>
      </c>
    </row>
    <row r="52" spans="1:4" x14ac:dyDescent="0.25">
      <c r="B52" s="173">
        <v>6</v>
      </c>
      <c r="C52" s="143">
        <v>1.5625E-2</v>
      </c>
    </row>
    <row r="53" spans="1:4" x14ac:dyDescent="0.25">
      <c r="B53" s="173">
        <v>7</v>
      </c>
      <c r="C53" s="143">
        <v>7.8125E-3</v>
      </c>
    </row>
    <row r="54" spans="1:4" x14ac:dyDescent="0.25">
      <c r="B54" s="173">
        <v>8</v>
      </c>
      <c r="C54" s="143">
        <v>3.90625E-3</v>
      </c>
    </row>
    <row r="55" spans="1:4" x14ac:dyDescent="0.25">
      <c r="B55" s="173">
        <v>9</v>
      </c>
      <c r="C55" s="143">
        <v>1.953125E-3</v>
      </c>
    </row>
    <row r="56" spans="1:4" x14ac:dyDescent="0.25">
      <c r="B56" s="175">
        <v>10</v>
      </c>
      <c r="C56" s="143">
        <v>9.765625E-4</v>
      </c>
    </row>
    <row r="57" spans="1:4" x14ac:dyDescent="0.25">
      <c r="C57" s="197">
        <f>SUM(C47:C56)</f>
        <v>0.9990234375</v>
      </c>
      <c r="D57" s="33" t="str">
        <f>IF(C57&gt;100%,"Must be less than 100%","")</f>
        <v/>
      </c>
    </row>
    <row r="59" spans="1:4" x14ac:dyDescent="0.25">
      <c r="C59" s="170"/>
    </row>
    <row r="62" spans="1:4" hidden="1" x14ac:dyDescent="0.25">
      <c r="A62" s="1" t="s">
        <v>84</v>
      </c>
    </row>
    <row r="63" spans="1:4" hidden="1" x14ac:dyDescent="0.25">
      <c r="A63" s="74" t="s">
        <v>11</v>
      </c>
      <c r="B63" s="97">
        <v>0.83</v>
      </c>
    </row>
    <row r="64" spans="1:4" hidden="1" x14ac:dyDescent="0.25">
      <c r="A64" s="52" t="s">
        <v>46</v>
      </c>
      <c r="B64" s="111" t="str">
        <f>IF(COUNTIF(B1,"*[*")&gt;=1,"exact",
IF(COUNTIF(B1,"*" &amp;CHAR(34)&amp;"*")&gt;=1,"phrase",
"broad"))</f>
        <v>exact</v>
      </c>
    </row>
    <row r="65" spans="1:4" hidden="1" x14ac:dyDescent="0.25">
      <c r="A65" s="4"/>
      <c r="B65" s="4"/>
    </row>
    <row r="66" spans="1:4" hidden="1" x14ac:dyDescent="0.25">
      <c r="A66" s="91" t="s">
        <v>58</v>
      </c>
      <c r="B66" s="8" t="s">
        <v>52</v>
      </c>
      <c r="C66" s="8" t="s">
        <v>10</v>
      </c>
      <c r="D66" s="8" t="s">
        <v>9</v>
      </c>
    </row>
    <row r="67" spans="1:4" hidden="1" x14ac:dyDescent="0.25">
      <c r="A67" s="68">
        <f ca="1">NOW()</f>
        <v>40957.669861921298</v>
      </c>
      <c r="B67" s="13">
        <f>Reach</f>
        <v>1000000</v>
      </c>
      <c r="C67" s="69">
        <f>B67*120%</f>
        <v>1200000</v>
      </c>
      <c r="D67" s="70">
        <f>B67*150%</f>
        <v>1500000</v>
      </c>
    </row>
    <row r="68" spans="1:4" hidden="1" x14ac:dyDescent="0.25">
      <c r="A68" s="68">
        <f ca="1">EOMONTH(A67,1)</f>
        <v>40999</v>
      </c>
      <c r="B68" s="13">
        <f>B67</f>
        <v>1000000</v>
      </c>
      <c r="C68" s="69">
        <f t="shared" ref="C68:C78" si="2">B68*120%</f>
        <v>1200000</v>
      </c>
      <c r="D68" s="70">
        <f t="shared" ref="D68:D78" si="3">B68*150%</f>
        <v>1500000</v>
      </c>
    </row>
    <row r="69" spans="1:4" hidden="1" x14ac:dyDescent="0.25">
      <c r="A69" s="68">
        <f t="shared" ref="A69:A78" ca="1" si="4">EOMONTH(A68,1)</f>
        <v>41029</v>
      </c>
      <c r="B69" s="13">
        <f t="shared" ref="B69:B78" si="5">B68</f>
        <v>1000000</v>
      </c>
      <c r="C69" s="69">
        <f t="shared" si="2"/>
        <v>1200000</v>
      </c>
      <c r="D69" s="70">
        <f t="shared" si="3"/>
        <v>1500000</v>
      </c>
    </row>
    <row r="70" spans="1:4" hidden="1" x14ac:dyDescent="0.25">
      <c r="A70" s="68">
        <f t="shared" ca="1" si="4"/>
        <v>41060</v>
      </c>
      <c r="B70" s="13">
        <f t="shared" si="5"/>
        <v>1000000</v>
      </c>
      <c r="C70" s="69">
        <f t="shared" si="2"/>
        <v>1200000</v>
      </c>
      <c r="D70" s="70">
        <f t="shared" si="3"/>
        <v>1500000</v>
      </c>
    </row>
    <row r="71" spans="1:4" hidden="1" x14ac:dyDescent="0.25">
      <c r="A71" s="68">
        <f t="shared" ca="1" si="4"/>
        <v>41090</v>
      </c>
      <c r="B71" s="13">
        <f t="shared" si="5"/>
        <v>1000000</v>
      </c>
      <c r="C71" s="69">
        <f t="shared" si="2"/>
        <v>1200000</v>
      </c>
      <c r="D71" s="70">
        <f t="shared" si="3"/>
        <v>1500000</v>
      </c>
    </row>
    <row r="72" spans="1:4" hidden="1" x14ac:dyDescent="0.25">
      <c r="A72" s="68">
        <f t="shared" ca="1" si="4"/>
        <v>41121</v>
      </c>
      <c r="B72" s="13">
        <f t="shared" si="5"/>
        <v>1000000</v>
      </c>
      <c r="C72" s="69">
        <f t="shared" si="2"/>
        <v>1200000</v>
      </c>
      <c r="D72" s="70">
        <f t="shared" si="3"/>
        <v>1500000</v>
      </c>
    </row>
    <row r="73" spans="1:4" hidden="1" x14ac:dyDescent="0.25">
      <c r="A73" s="68">
        <f t="shared" ca="1" si="4"/>
        <v>41152</v>
      </c>
      <c r="B73" s="13">
        <f t="shared" si="5"/>
        <v>1000000</v>
      </c>
      <c r="C73" s="69">
        <f t="shared" si="2"/>
        <v>1200000</v>
      </c>
      <c r="D73" s="70">
        <f t="shared" si="3"/>
        <v>1500000</v>
      </c>
    </row>
    <row r="74" spans="1:4" hidden="1" x14ac:dyDescent="0.25">
      <c r="A74" s="68">
        <f t="shared" ca="1" si="4"/>
        <v>41182</v>
      </c>
      <c r="B74" s="13">
        <f t="shared" si="5"/>
        <v>1000000</v>
      </c>
      <c r="C74" s="69">
        <f t="shared" si="2"/>
        <v>1200000</v>
      </c>
      <c r="D74" s="70">
        <f t="shared" si="3"/>
        <v>1500000</v>
      </c>
    </row>
    <row r="75" spans="1:4" hidden="1" x14ac:dyDescent="0.25">
      <c r="A75" s="68">
        <f t="shared" ca="1" si="4"/>
        <v>41213</v>
      </c>
      <c r="B75" s="13">
        <f t="shared" si="5"/>
        <v>1000000</v>
      </c>
      <c r="C75" s="69">
        <f t="shared" si="2"/>
        <v>1200000</v>
      </c>
      <c r="D75" s="70">
        <f t="shared" si="3"/>
        <v>1500000</v>
      </c>
    </row>
    <row r="76" spans="1:4" hidden="1" x14ac:dyDescent="0.25">
      <c r="A76" s="68">
        <f t="shared" ca="1" si="4"/>
        <v>41243</v>
      </c>
      <c r="B76" s="13">
        <f t="shared" si="5"/>
        <v>1000000</v>
      </c>
      <c r="C76" s="69">
        <f t="shared" si="2"/>
        <v>1200000</v>
      </c>
      <c r="D76" s="70">
        <f t="shared" si="3"/>
        <v>1500000</v>
      </c>
    </row>
    <row r="77" spans="1:4" hidden="1" x14ac:dyDescent="0.25">
      <c r="A77" s="68">
        <f t="shared" ca="1" si="4"/>
        <v>41274</v>
      </c>
      <c r="B77" s="13">
        <f t="shared" si="5"/>
        <v>1000000</v>
      </c>
      <c r="C77" s="69">
        <f t="shared" si="2"/>
        <v>1200000</v>
      </c>
      <c r="D77" s="70">
        <f t="shared" si="3"/>
        <v>1500000</v>
      </c>
    </row>
    <row r="78" spans="1:4" hidden="1" x14ac:dyDescent="0.25">
      <c r="A78" s="68">
        <f t="shared" ca="1" si="4"/>
        <v>41305</v>
      </c>
      <c r="B78" s="71">
        <f t="shared" si="5"/>
        <v>1000000</v>
      </c>
      <c r="C78" s="72">
        <f t="shared" si="2"/>
        <v>1200000</v>
      </c>
      <c r="D78" s="73">
        <f t="shared" si="3"/>
        <v>1500000</v>
      </c>
    </row>
  </sheetData>
  <scenarios current="5" show="5" sqref="B2 G16:G21">
    <scenario name="10" locked="1" count="1" user="user" comment="Created by user on 24/01/2012_x000a_Modified by user on 24/01/2012">
      <inputCells r="B10" val="10"/>
    </scenario>
    <scenario name="9" locked="1" count="1" user="user" comment="Created by user on 24/01/2012">
      <inputCells r="B10" val="9"/>
    </scenario>
    <scenario name="8" locked="1" count="1" user="user" comment="Created by user on 24/01/2012">
      <inputCells r="B10" val="8"/>
    </scenario>
    <scenario name="7" locked="1" count="1" user="user" comment="Created by user on 24/01/2012">
      <inputCells r="B10" val="7"/>
    </scenario>
    <scenario name="6" locked="1" count="1" user="user" comment="Created by user on 24/01/2012">
      <inputCells r="B10" val="6"/>
    </scenario>
    <scenario name="5" locked="1" count="1" user="user" comment="Created by user on 24/01/2012">
      <inputCells r="B10" val="5"/>
    </scenario>
    <scenario name="4" locked="1" count="1" user="user" comment="Created by user on 24/01/2012">
      <inputCells r="B10" val="4"/>
    </scenario>
    <scenario name="3" locked="1" count="1" user="user" comment="Created by user on 24/01/2012">
      <inputCells r="B10" val="3"/>
    </scenario>
    <scenario name="2" locked="1" count="1" user="user" comment="Created by user on 24/01/2012">
      <inputCells r="B10" val="2"/>
    </scenario>
    <scenario name="1" locked="1" count="1" user="user" comment="Created by user on 24/01/2012">
      <inputCells r="B10" val="1"/>
    </scenario>
  </scenarios>
  <conditionalFormatting sqref="D10:D19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4:H38 H42 H44 H46:H47 G21:G22 H25:H30">
    <cfRule type="cellIs" dxfId="18" priority="10" operator="lessThan">
      <formula>0</formula>
    </cfRule>
  </conditionalFormatting>
  <conditionalFormatting sqref="F11">
    <cfRule type="expression" dxfId="17" priority="9">
      <formula>$G$9&lt;&gt;"Ecommerce"</formula>
    </cfRule>
  </conditionalFormatting>
  <conditionalFormatting sqref="G11">
    <cfRule type="expression" dxfId="16" priority="8">
      <formula>$G$9&lt;&gt;"Ecommerce"</formula>
    </cfRule>
  </conditionalFormatting>
  <conditionalFormatting sqref="F12">
    <cfRule type="expression" dxfId="15" priority="7">
      <formula>$G$9="Ecommerce"</formula>
    </cfRule>
  </conditionalFormatting>
  <conditionalFormatting sqref="G12">
    <cfRule type="expression" dxfId="14" priority="6">
      <formula>$G$9="Ecommerce"</formula>
    </cfRule>
  </conditionalFormatting>
  <conditionalFormatting sqref="C33:D33">
    <cfRule type="cellIs" dxfId="13" priority="4" operator="lessThan">
      <formula>0</formula>
    </cfRule>
  </conditionalFormatting>
  <conditionalFormatting sqref="D34:D43">
    <cfRule type="cellIs" dxfId="12" priority="3" operator="lessThan">
      <formula>0</formula>
    </cfRule>
  </conditionalFormatting>
  <conditionalFormatting sqref="C34:C43">
    <cfRule type="cellIs" dxfId="11" priority="2" operator="lessThan">
      <formula>0</formula>
    </cfRule>
  </conditionalFormatting>
  <dataValidations xWindow="378" yWindow="234" count="10">
    <dataValidation type="list" allowBlank="1" showInputMessage="1" showErrorMessage="1" prompt="Change Rank here" sqref="B10">
      <formula1>$C$10:$C$19</formula1>
    </dataValidation>
    <dataValidation type="list" allowBlank="1" showInputMessage="1" showErrorMessage="1" sqref="F34">
      <formula1>$G$34:$G$38</formula1>
    </dataValidation>
    <dataValidation allowBlank="1" showInputMessage="1" showErrorMessage="1" prompt="Enter Keyword here" sqref="B1"/>
    <dataValidation allowBlank="1" showInputMessage="1" showErrorMessage="1" prompt="Enter keyword Impressions" sqref="B2"/>
    <dataValidation allowBlank="1" showInputMessage="1" showErrorMessage="1" prompt="Used for Report Title" sqref="B5"/>
    <dataValidation allowBlank="1" showInputMessage="1" showErrorMessage="1" prompt="Used to find Ranking" sqref="B4"/>
    <dataValidation allowBlank="1" showInputMessage="1" showErrorMessage="1" prompt="Enter to receive PDF report" sqref="B3"/>
    <dataValidation type="list" allowBlank="1" showInputMessage="1" showErrorMessage="1" sqref="G9">
      <formula1>$G$34:$G$37</formula1>
    </dataValidation>
    <dataValidation type="decimal" allowBlank="1" showInputMessage="1" showErrorMessage="1" sqref="C47:C56">
      <formula1>0</formula1>
      <formula2>1</formula2>
    </dataValidation>
    <dataValidation type="list" allowBlank="1" showInputMessage="1" showErrorMessage="1" sqref="F25">
      <formula1>$G$25:$G$30</formula1>
    </dataValidation>
  </dataValidations>
  <pageMargins left="0.25" right="0.25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378" yWindow="234" count="2">
        <x14:dataValidation type="list" allowBlank="1" showInputMessage="1" showErrorMessage="1" prompt="Change CTR table weighting - based on Keyword Intent">
          <x14:formula1>
            <xm:f>'lookup CTR per position'!$L$2:$N$2</xm:f>
          </x14:formula1>
          <xm:sqref>B7</xm:sqref>
        </x14:dataValidation>
        <x14:dataValidation type="list" allowBlank="1" showInputMessage="1" showErrorMessage="1">
          <x14:formula1>
            <xm:f>'lookup CTR per position'!$B$2:$J$2</xm:f>
          </x14:formula1>
          <xm:sqref>B22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L40"/>
  <sheetViews>
    <sheetView showGridLines="0" workbookViewId="0">
      <selection activeCell="H11" sqref="H11"/>
    </sheetView>
  </sheetViews>
  <sheetFormatPr defaultRowHeight="15" x14ac:dyDescent="0.25"/>
  <cols>
    <col min="1" max="1" width="28.42578125" bestFit="1" customWidth="1"/>
    <col min="2" max="11" width="11.42578125" customWidth="1"/>
    <col min="12" max="12" width="11.5703125" bestFit="1" customWidth="1"/>
  </cols>
  <sheetData>
    <row r="1" spans="1:12" ht="15.75" x14ac:dyDescent="0.25">
      <c r="A1" s="75" t="s">
        <v>57</v>
      </c>
      <c r="B1" s="89">
        <v>10</v>
      </c>
      <c r="C1" s="89">
        <v>9</v>
      </c>
      <c r="D1" s="89">
        <v>8</v>
      </c>
      <c r="E1" s="89">
        <v>7</v>
      </c>
      <c r="F1" s="89">
        <v>6</v>
      </c>
      <c r="G1" s="89">
        <v>5</v>
      </c>
      <c r="H1" s="89">
        <v>4</v>
      </c>
      <c r="I1" s="89">
        <v>3</v>
      </c>
      <c r="J1" s="89">
        <v>2</v>
      </c>
      <c r="K1" s="90">
        <v>1</v>
      </c>
    </row>
    <row r="2" spans="1:12" x14ac:dyDescent="0.25">
      <c r="A2" s="83" t="s">
        <v>27</v>
      </c>
      <c r="B2" s="84">
        <f t="shared" ref="B2:K2" si="0">Reach</f>
        <v>1000000</v>
      </c>
      <c r="C2" s="84">
        <f t="shared" si="0"/>
        <v>1000000</v>
      </c>
      <c r="D2" s="84">
        <f t="shared" si="0"/>
        <v>1000000</v>
      </c>
      <c r="E2" s="84">
        <f t="shared" si="0"/>
        <v>1000000</v>
      </c>
      <c r="F2" s="84">
        <f t="shared" si="0"/>
        <v>1000000</v>
      </c>
      <c r="G2" s="84">
        <f t="shared" si="0"/>
        <v>1000000</v>
      </c>
      <c r="H2" s="84">
        <f t="shared" si="0"/>
        <v>1000000</v>
      </c>
      <c r="I2" s="84">
        <f t="shared" si="0"/>
        <v>1000000</v>
      </c>
      <c r="J2" s="84">
        <f t="shared" si="0"/>
        <v>1000000</v>
      </c>
      <c r="K2" s="85">
        <f t="shared" si="0"/>
        <v>1000000</v>
      </c>
    </row>
    <row r="3" spans="1:12" x14ac:dyDescent="0.25">
      <c r="A3" s="78" t="s">
        <v>53</v>
      </c>
      <c r="B3" s="79">
        <f>VLOOKUP(B$1,settings!$C$10:$D$19,2,FALSE)*(100%+settings!$H$44)</f>
        <v>2.0400000000000001E-2</v>
      </c>
      <c r="C3" s="79">
        <f>VLOOKUP(C$1,settings!$C$10:$D$19,2,FALSE)*(100%+settings!$H$44)</f>
        <v>2.1899999999999999E-2</v>
      </c>
      <c r="D3" s="79">
        <f>VLOOKUP(D$1,settings!$C$10:$D$19,2,FALSE)*(100%+settings!$H$44)</f>
        <v>2.5500000000000002E-2</v>
      </c>
      <c r="E3" s="79">
        <f>VLOOKUP(E$1,settings!$C$10:$D$19,2,FALSE)*(100%+settings!$H$44)</f>
        <v>2.9399999999999999E-2</v>
      </c>
      <c r="F3" s="79">
        <f>VLOOKUP(F$1,settings!$C$10:$D$19,2,FALSE)*(100%+settings!$H$44)</f>
        <v>3.2999999999999995E-2</v>
      </c>
      <c r="G3" s="79">
        <f>VLOOKUP(G$1,settings!$C$10:$D$19,2,FALSE)*(100%+settings!$H$44)</f>
        <v>3.9600000000000003E-2</v>
      </c>
      <c r="H3" s="79">
        <f>VLOOKUP(H$1,settings!$C$10:$D$19,2,FALSE)*(100%+settings!$H$44)</f>
        <v>5.3399999999999996E-2</v>
      </c>
      <c r="I3" s="79">
        <f>VLOOKUP(I$1,settings!$C$10:$D$19,2,FALSE)*(100%+settings!$H$44)</f>
        <v>7.6200000000000004E-2</v>
      </c>
      <c r="J3" s="79">
        <f>VLOOKUP(J$1,settings!$C$10:$D$19,2,FALSE)*(100%+settings!$H$44)</f>
        <v>0.10289999999999999</v>
      </c>
      <c r="K3" s="80">
        <f>VLOOKUP(K$1,settings!$C$10:$D$19,2,FALSE)*(100%+settings!$H$44)</f>
        <v>0.24510000000000004</v>
      </c>
    </row>
    <row r="4" spans="1:12" x14ac:dyDescent="0.25">
      <c r="A4" s="78" t="s">
        <v>54</v>
      </c>
      <c r="B4" s="79">
        <f>B$3*(100%+settings!$H$46)</f>
        <v>2.2440000000000005E-2</v>
      </c>
      <c r="C4" s="79">
        <f>C$3*(100%+settings!$H$46)</f>
        <v>2.409E-2</v>
      </c>
      <c r="D4" s="79">
        <f>D$3*(100%+settings!$H$46)</f>
        <v>2.8050000000000005E-2</v>
      </c>
      <c r="E4" s="79">
        <f>E$3*(100%+settings!$H$46)</f>
        <v>3.2340000000000001E-2</v>
      </c>
      <c r="F4" s="79">
        <f>F$3*(100%+settings!$H$46)</f>
        <v>3.6299999999999999E-2</v>
      </c>
      <c r="G4" s="79">
        <f>G$3*(100%+settings!$H$46)</f>
        <v>4.3560000000000008E-2</v>
      </c>
      <c r="H4" s="79">
        <f>H$3*(100%+settings!$H$46)</f>
        <v>5.8740000000000001E-2</v>
      </c>
      <c r="I4" s="79">
        <f>I$3*(100%+settings!$H$46)</f>
        <v>8.3820000000000006E-2</v>
      </c>
      <c r="J4" s="79">
        <f>J$3*(100%+settings!$H$46)</f>
        <v>0.11319</v>
      </c>
      <c r="K4" s="80">
        <f>K$3*(100%+settings!$H$46)</f>
        <v>0.26961000000000007</v>
      </c>
    </row>
    <row r="5" spans="1:12" x14ac:dyDescent="0.25">
      <c r="A5" s="76" t="s">
        <v>14</v>
      </c>
      <c r="B5" s="5">
        <f>B4*B2</f>
        <v>22440.000000000004</v>
      </c>
      <c r="C5" s="5">
        <f t="shared" ref="C5:K5" si="1">C4*C2</f>
        <v>24090</v>
      </c>
      <c r="D5" s="5">
        <f t="shared" si="1"/>
        <v>28050.000000000007</v>
      </c>
      <c r="E5" s="5">
        <f t="shared" si="1"/>
        <v>32340</v>
      </c>
      <c r="F5" s="5">
        <f t="shared" si="1"/>
        <v>36300</v>
      </c>
      <c r="G5" s="5">
        <f t="shared" si="1"/>
        <v>43560.000000000007</v>
      </c>
      <c r="H5" s="5">
        <f t="shared" si="1"/>
        <v>58740</v>
      </c>
      <c r="I5" s="5">
        <f t="shared" si="1"/>
        <v>83820</v>
      </c>
      <c r="J5" s="5">
        <f t="shared" si="1"/>
        <v>113190</v>
      </c>
      <c r="K5" s="77">
        <f t="shared" si="1"/>
        <v>269610.00000000006</v>
      </c>
    </row>
    <row r="6" spans="1:12" x14ac:dyDescent="0.25">
      <c r="A6" s="76" t="s">
        <v>15</v>
      </c>
      <c r="B6" s="6">
        <f>IFERROR(cpc*B5,"")</f>
        <v>8976.0000000000018</v>
      </c>
      <c r="C6" s="6">
        <f t="shared" ref="C6:K6" si="2">IFERROR(cpc*C5,"")</f>
        <v>9636</v>
      </c>
      <c r="D6" s="6">
        <f t="shared" si="2"/>
        <v>11220.000000000004</v>
      </c>
      <c r="E6" s="6">
        <f t="shared" si="2"/>
        <v>12936</v>
      </c>
      <c r="F6" s="6">
        <f t="shared" si="2"/>
        <v>14520</v>
      </c>
      <c r="G6" s="6">
        <f t="shared" si="2"/>
        <v>17424.000000000004</v>
      </c>
      <c r="H6" s="6">
        <f t="shared" si="2"/>
        <v>23496</v>
      </c>
      <c r="I6" s="6">
        <f t="shared" si="2"/>
        <v>33528</v>
      </c>
      <c r="J6" s="6">
        <f t="shared" si="2"/>
        <v>45276</v>
      </c>
      <c r="K6" s="81">
        <f t="shared" si="2"/>
        <v>107844.00000000003</v>
      </c>
    </row>
    <row r="7" spans="1:12" x14ac:dyDescent="0.25">
      <c r="A7" s="76" t="s">
        <v>22</v>
      </c>
      <c r="B7" s="5">
        <f t="shared" ref="B7:K7" si="3">B5*Conv_Rate</f>
        <v>448.80000000000007</v>
      </c>
      <c r="C7" s="5">
        <f t="shared" si="3"/>
        <v>481.8</v>
      </c>
      <c r="D7" s="5">
        <f t="shared" si="3"/>
        <v>561.00000000000011</v>
      </c>
      <c r="E7" s="5">
        <f t="shared" si="3"/>
        <v>646.80000000000007</v>
      </c>
      <c r="F7" s="5">
        <f t="shared" si="3"/>
        <v>726</v>
      </c>
      <c r="G7" s="5">
        <f t="shared" si="3"/>
        <v>871.20000000000016</v>
      </c>
      <c r="H7" s="5">
        <f t="shared" si="3"/>
        <v>1174.8</v>
      </c>
      <c r="I7" s="5">
        <f t="shared" si="3"/>
        <v>1676.4</v>
      </c>
      <c r="J7" s="5">
        <f t="shared" si="3"/>
        <v>2263.8000000000002</v>
      </c>
      <c r="K7" s="77">
        <f t="shared" si="3"/>
        <v>5392.2000000000016</v>
      </c>
    </row>
    <row r="8" spans="1:12" x14ac:dyDescent="0.25">
      <c r="A8" s="76" t="s">
        <v>23</v>
      </c>
      <c r="B8" s="6">
        <f t="shared" ref="B8:K8" si="4">B6/B7</f>
        <v>20</v>
      </c>
      <c r="C8" s="6">
        <f t="shared" si="4"/>
        <v>20</v>
      </c>
      <c r="D8" s="6">
        <f t="shared" si="4"/>
        <v>20.000000000000004</v>
      </c>
      <c r="E8" s="6">
        <f t="shared" si="4"/>
        <v>19.999999999999996</v>
      </c>
      <c r="F8" s="6">
        <f t="shared" si="4"/>
        <v>20</v>
      </c>
      <c r="G8" s="6">
        <f t="shared" si="4"/>
        <v>20</v>
      </c>
      <c r="H8" s="6">
        <f t="shared" si="4"/>
        <v>20</v>
      </c>
      <c r="I8" s="6">
        <f t="shared" si="4"/>
        <v>20</v>
      </c>
      <c r="J8" s="6">
        <f t="shared" si="4"/>
        <v>20</v>
      </c>
      <c r="K8" s="81">
        <f t="shared" si="4"/>
        <v>20</v>
      </c>
    </row>
    <row r="9" spans="1:12" x14ac:dyDescent="0.25">
      <c r="A9" s="76" t="s">
        <v>16</v>
      </c>
      <c r="B9" s="6">
        <f t="shared" ref="B9:K9" si="5">B5*RevenuePerVisit</f>
        <v>53856.000000000007</v>
      </c>
      <c r="C9" s="6">
        <f t="shared" si="5"/>
        <v>57816</v>
      </c>
      <c r="D9" s="6">
        <f t="shared" si="5"/>
        <v>67320.000000000015</v>
      </c>
      <c r="E9" s="6">
        <f t="shared" si="5"/>
        <v>77616</v>
      </c>
      <c r="F9" s="6">
        <f t="shared" si="5"/>
        <v>87120</v>
      </c>
      <c r="G9" s="6">
        <f t="shared" si="5"/>
        <v>104544.00000000001</v>
      </c>
      <c r="H9" s="6">
        <f t="shared" si="5"/>
        <v>140976</v>
      </c>
      <c r="I9" s="6">
        <f t="shared" si="5"/>
        <v>201168</v>
      </c>
      <c r="J9" s="6">
        <f t="shared" si="5"/>
        <v>271656</v>
      </c>
      <c r="K9" s="81">
        <f t="shared" si="5"/>
        <v>647064.00000000012</v>
      </c>
    </row>
    <row r="10" spans="1:12" x14ac:dyDescent="0.25">
      <c r="A10" s="76" t="s">
        <v>55</v>
      </c>
      <c r="B10" s="6" t="str">
        <f t="shared" ref="B10:J10" si="6">IFERROR(B9-A9,"")</f>
        <v/>
      </c>
      <c r="C10" s="6">
        <f t="shared" si="6"/>
        <v>3959.9999999999927</v>
      </c>
      <c r="D10" s="6">
        <f t="shared" si="6"/>
        <v>9504.0000000000146</v>
      </c>
      <c r="E10" s="6">
        <f t="shared" si="6"/>
        <v>10295.999999999985</v>
      </c>
      <c r="F10" s="6">
        <f t="shared" si="6"/>
        <v>9504</v>
      </c>
      <c r="G10" s="6">
        <f t="shared" si="6"/>
        <v>17424.000000000015</v>
      </c>
      <c r="H10" s="6">
        <f t="shared" si="6"/>
        <v>36431.999999999985</v>
      </c>
      <c r="I10" s="6">
        <f>IFERROR(I9-H9,"")</f>
        <v>60192</v>
      </c>
      <c r="J10" s="6">
        <f t="shared" si="6"/>
        <v>70488</v>
      </c>
      <c r="K10" s="81">
        <f>IFERROR(K9-J9,"")</f>
        <v>375408.00000000012</v>
      </c>
    </row>
    <row r="11" spans="1:12" x14ac:dyDescent="0.25">
      <c r="A11" s="82" t="s">
        <v>56</v>
      </c>
      <c r="B11" s="86" t="str">
        <f t="shared" ref="B11:J11" si="7">IFERROR(B10/A9,"")</f>
        <v/>
      </c>
      <c r="C11" s="86">
        <f>IFERROR(C10/B9,"")</f>
        <v>7.3529411764705732E-2</v>
      </c>
      <c r="D11" s="86">
        <f t="shared" si="7"/>
        <v>0.16438356164383586</v>
      </c>
      <c r="E11" s="86">
        <f t="shared" si="7"/>
        <v>0.152941176470588</v>
      </c>
      <c r="F11" s="86">
        <f t="shared" si="7"/>
        <v>0.12244897959183673</v>
      </c>
      <c r="G11" s="86">
        <f t="shared" si="7"/>
        <v>0.20000000000000018</v>
      </c>
      <c r="H11" s="86">
        <f t="shared" si="7"/>
        <v>0.34848484848484829</v>
      </c>
      <c r="I11" s="86">
        <f>IFERROR(I10/H9,"")</f>
        <v>0.42696629213483145</v>
      </c>
      <c r="J11" s="86">
        <f t="shared" si="7"/>
        <v>0.35039370078740156</v>
      </c>
      <c r="K11" s="87">
        <f>IFERROR(K10/J9,"")</f>
        <v>1.3819241982507293</v>
      </c>
      <c r="L11" s="88"/>
    </row>
    <row r="12" spans="1:12" x14ac:dyDescent="0.25">
      <c r="B12" s="110" t="str">
        <f t="shared" ref="B12:K12" si="8">IF(B1=rank=TRUE, "Current Rank","")</f>
        <v/>
      </c>
      <c r="C12" s="110" t="str">
        <f t="shared" si="8"/>
        <v/>
      </c>
      <c r="D12" s="110" t="str">
        <f t="shared" si="8"/>
        <v/>
      </c>
      <c r="E12" s="110" t="str">
        <f t="shared" si="8"/>
        <v/>
      </c>
      <c r="F12" s="110" t="str">
        <f t="shared" si="8"/>
        <v/>
      </c>
      <c r="G12" s="110" t="str">
        <f t="shared" si="8"/>
        <v>Current Rank</v>
      </c>
      <c r="H12" s="110" t="str">
        <f t="shared" si="8"/>
        <v/>
      </c>
      <c r="I12" s="110" t="str">
        <f t="shared" si="8"/>
        <v/>
      </c>
      <c r="J12" s="110" t="str">
        <f t="shared" si="8"/>
        <v/>
      </c>
      <c r="K12" s="110" t="str">
        <f t="shared" si="8"/>
        <v/>
      </c>
    </row>
    <row r="40" spans="1:10" x14ac:dyDescent="0.25">
      <c r="A40" s="180">
        <v>5.6405442628522165E-3</v>
      </c>
      <c r="B40" s="180">
        <v>8.6777604043880244E-3</v>
      </c>
      <c r="C40" s="180">
        <v>1.3350400622135421E-2</v>
      </c>
      <c r="D40" s="180">
        <v>2.053907788020834E-2</v>
      </c>
      <c r="E40" s="180">
        <v>3.1598581354166676E-2</v>
      </c>
      <c r="F40" s="180">
        <v>4.8613202083333341E-2</v>
      </c>
      <c r="G40" s="180">
        <v>7.4789541666666681E-2</v>
      </c>
      <c r="H40" s="180">
        <v>0.11506083333333336</v>
      </c>
      <c r="I40" s="180">
        <v>0.17701666666666671</v>
      </c>
      <c r="J40" s="180">
        <v>0.27233333333333337</v>
      </c>
    </row>
  </sheetData>
  <conditionalFormatting sqref="L8:XFD8 A10:A11">
    <cfRule type="cellIs" dxfId="10" priority="21" operator="lessThan">
      <formula>0</formula>
    </cfRule>
  </conditionalFormatting>
  <conditionalFormatting sqref="B2:K11">
    <cfRule type="cellIs" dxfId="9" priority="1" operator="lessThan">
      <formula>0</formula>
    </cfRule>
  </conditionalFormatting>
  <conditionalFormatting sqref="B9:K9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25" right="0.25" top="0.75" bottom="0.75" header="0.3" footer="0.3"/>
  <pageSetup paperSize="9" orientation="landscape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stopIfTrue="1" id="{CDC484A1-D79B-4A01-BAD8-89190FC6EA31}">
            <xm:f>B$1=settings!$B$10</xm:f>
            <x14:dxf>
              <fill>
                <patternFill>
                  <bgColor theme="6" tint="0.59996337778862885"/>
                </patternFill>
              </fill>
            </x14:dxf>
          </x14:cfRule>
          <xm:sqref>B2:K11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51"/>
  <sheetViews>
    <sheetView workbookViewId="0">
      <selection activeCell="A36" sqref="A36"/>
    </sheetView>
  </sheetViews>
  <sheetFormatPr defaultRowHeight="15" x14ac:dyDescent="0.25"/>
  <cols>
    <col min="1" max="1" width="19.7109375" style="1" customWidth="1"/>
    <col min="2" max="6" width="9.140625" style="1"/>
    <col min="7" max="7" width="14.140625" style="1" bestFit="1" customWidth="1"/>
    <col min="8" max="9" width="14.140625" style="1" customWidth="1"/>
    <col min="10" max="10" width="13.85546875" style="1" customWidth="1"/>
    <col min="11" max="11" width="23.85546875" style="1" customWidth="1"/>
    <col min="12" max="12" width="25.28515625" style="1" bestFit="1" customWidth="1"/>
    <col min="13" max="13" width="24.85546875" style="1" bestFit="1" customWidth="1"/>
    <col min="14" max="14" width="18.5703125" style="1" bestFit="1" customWidth="1"/>
    <col min="15" max="15" width="5.140625" style="1" customWidth="1"/>
    <col min="16" max="16" width="9.140625" style="1"/>
    <col min="17" max="17" width="14.28515625" style="1" customWidth="1"/>
    <col min="18" max="18" width="16.140625" style="1" customWidth="1"/>
    <col min="19" max="19" width="9.140625" style="1"/>
    <col min="20" max="20" width="21.7109375" style="1" bestFit="1" customWidth="1"/>
    <col min="21" max="16384" width="9.140625" style="1"/>
  </cols>
  <sheetData>
    <row r="1" spans="1:23" x14ac:dyDescent="0.25">
      <c r="A1" s="126" t="s">
        <v>36</v>
      </c>
    </row>
    <row r="2" spans="1:23" x14ac:dyDescent="0.25">
      <c r="A2" s="127" t="s">
        <v>24</v>
      </c>
      <c r="B2" s="199" t="s">
        <v>4</v>
      </c>
      <c r="C2" s="128" t="s">
        <v>0</v>
      </c>
      <c r="D2" s="128" t="s">
        <v>1</v>
      </c>
      <c r="E2" s="128" t="s">
        <v>2</v>
      </c>
      <c r="F2" s="128" t="s">
        <v>3</v>
      </c>
      <c r="G2" s="129" t="s">
        <v>81</v>
      </c>
      <c r="H2" s="129" t="s">
        <v>82</v>
      </c>
      <c r="I2" s="129" t="s">
        <v>80</v>
      </c>
      <c r="J2" s="130" t="s">
        <v>37</v>
      </c>
      <c r="K2" s="131" t="str">
        <f>settings!A7</f>
        <v>Type of SearchQuery</v>
      </c>
      <c r="L2" s="109" t="s">
        <v>72</v>
      </c>
      <c r="M2" s="109" t="s">
        <v>73</v>
      </c>
      <c r="N2" s="109" t="s">
        <v>71</v>
      </c>
      <c r="O2" s="132" t="str">
        <f>B2</f>
        <v>Avg</v>
      </c>
      <c r="P2" s="3" t="str">
        <f>C2</f>
        <v>Slingshot</v>
      </c>
      <c r="Q2" s="3" t="str">
        <f>D2</f>
        <v>Optify</v>
      </c>
      <c r="R2" s="3" t="str">
        <f>E2</f>
        <v>Enquiro</v>
      </c>
      <c r="S2" s="3" t="str">
        <f>F2</f>
        <v>AOL</v>
      </c>
      <c r="T2" s="3" t="str">
        <f t="shared" ref="T2" si="0">G2</f>
        <v>Epiphany (cpc)</v>
      </c>
      <c r="U2" s="3" t="str">
        <f t="shared" ref="U2" si="1">H2</f>
        <v>Accuracast (cpc)</v>
      </c>
      <c r="V2" s="3" t="str">
        <f t="shared" ref="V2:W2" si="2">I2</f>
        <v>Linear</v>
      </c>
      <c r="W2" s="3" t="str">
        <f t="shared" si="2"/>
        <v>Custom</v>
      </c>
    </row>
    <row r="3" spans="1:23" x14ac:dyDescent="0.25">
      <c r="A3" s="133">
        <v>1</v>
      </c>
      <c r="B3" s="186">
        <f>AVERAGE(C3:E3)</f>
        <v>0.27233333333333337</v>
      </c>
      <c r="C3" s="186">
        <v>0.182</v>
      </c>
      <c r="D3" s="186">
        <v>0.36399999999999999</v>
      </c>
      <c r="E3" s="186">
        <v>0.27100000000000002</v>
      </c>
      <c r="F3" s="187">
        <v>0.42100000000000004</v>
      </c>
      <c r="G3" s="136">
        <v>9.8000000000000004E-2</v>
      </c>
      <c r="H3" s="136">
        <v>7.9399999999999998E-2</v>
      </c>
      <c r="I3" s="137">
        <f>B3</f>
        <v>0.27233333333333337</v>
      </c>
      <c r="J3" s="137">
        <f>settings!C47</f>
        <v>0.5</v>
      </c>
      <c r="K3" s="23" t="str">
        <f t="shared" ref="K3:K12" si="3">Type_of_SearchQuery</f>
        <v>Default: Both Types</v>
      </c>
      <c r="L3" s="116">
        <f>settings!C34</f>
        <v>0.05</v>
      </c>
      <c r="M3" s="116">
        <f>settings!D34</f>
        <v>-0.02</v>
      </c>
      <c r="N3" s="138" t="str">
        <f>IF(K3=$L$2,L3+100%,
IF(K3=$M$2,M3+100%,"1"))</f>
        <v>1</v>
      </c>
      <c r="O3" s="134">
        <f>AVERAGE(P3:R3)</f>
        <v>0.27233333333333337</v>
      </c>
      <c r="P3" s="134">
        <f t="shared" ref="P3:W3" si="4">$N3*C3</f>
        <v>0.182</v>
      </c>
      <c r="Q3" s="134">
        <f t="shared" si="4"/>
        <v>0.36399999999999999</v>
      </c>
      <c r="R3" s="134">
        <f t="shared" si="4"/>
        <v>0.27100000000000002</v>
      </c>
      <c r="S3" s="135">
        <f t="shared" si="4"/>
        <v>0.42100000000000004</v>
      </c>
      <c r="T3" s="185">
        <f t="shared" si="4"/>
        <v>9.8000000000000004E-2</v>
      </c>
      <c r="U3" s="136">
        <f t="shared" si="4"/>
        <v>7.9399999999999998E-2</v>
      </c>
      <c r="V3" s="137">
        <f t="shared" si="4"/>
        <v>0.27233333333333337</v>
      </c>
      <c r="W3" s="137">
        <f t="shared" si="4"/>
        <v>0.5</v>
      </c>
    </row>
    <row r="4" spans="1:23" x14ac:dyDescent="0.25">
      <c r="A4" s="139">
        <v>2</v>
      </c>
      <c r="B4" s="181">
        <f t="shared" ref="B4:B12" si="5">AVERAGE(C4:E4)</f>
        <v>0.11433333333333333</v>
      </c>
      <c r="C4" s="181">
        <v>0.10099999999999999</v>
      </c>
      <c r="D4" s="181">
        <v>0.125</v>
      </c>
      <c r="E4" s="181">
        <v>0.11699999999999999</v>
      </c>
      <c r="F4" s="188">
        <v>0.11900000000000001</v>
      </c>
      <c r="G4" s="142">
        <v>6.3700000000000007E-2</v>
      </c>
      <c r="H4" s="142">
        <v>0.05</v>
      </c>
      <c r="I4" s="143">
        <f>I3*65%</f>
        <v>0.17701666666666671</v>
      </c>
      <c r="J4" s="194">
        <f>settings!C48</f>
        <v>0.25</v>
      </c>
      <c r="K4" s="26" t="str">
        <f t="shared" si="3"/>
        <v>Default: Both Types</v>
      </c>
      <c r="L4" s="118">
        <f>settings!C35</f>
        <v>2.5000000000000001E-2</v>
      </c>
      <c r="M4" s="118">
        <f>settings!D35</f>
        <v>-0.01</v>
      </c>
      <c r="N4" s="95" t="str">
        <f t="shared" ref="N4:N12" si="6">IF(K4=$L$2,L4+100%,
IF(K4=$M$2,M4+100%,"1"))</f>
        <v>1</v>
      </c>
      <c r="O4" s="140">
        <f t="shared" ref="O4:O12" si="7">AVERAGE(P4:R4)</f>
        <v>0.11433333333333333</v>
      </c>
      <c r="P4" s="140">
        <f t="shared" ref="P4:P12" si="8">$N4*C4</f>
        <v>0.10099999999999999</v>
      </c>
      <c r="Q4" s="140">
        <f t="shared" ref="Q4:Q12" si="9">$N4*D4</f>
        <v>0.125</v>
      </c>
      <c r="R4" s="140">
        <f t="shared" ref="R4:R12" si="10">$N4*E4</f>
        <v>0.11699999999999999</v>
      </c>
      <c r="S4" s="141">
        <f t="shared" ref="S4:S12" si="11">$N4*F4</f>
        <v>0.11900000000000001</v>
      </c>
      <c r="T4" s="142">
        <f t="shared" ref="T4:T11" si="12">$N4*G4</f>
        <v>6.3700000000000007E-2</v>
      </c>
      <c r="U4" s="142">
        <f t="shared" ref="U4:U12" si="13">$N4*H4</f>
        <v>0.05</v>
      </c>
      <c r="V4" s="143">
        <f t="shared" ref="V4:W12" si="14">$N4*I4</f>
        <v>0.17701666666666671</v>
      </c>
      <c r="W4" s="143">
        <f t="shared" si="14"/>
        <v>0.25</v>
      </c>
    </row>
    <row r="5" spans="1:23" x14ac:dyDescent="0.25">
      <c r="A5" s="144">
        <v>3</v>
      </c>
      <c r="B5" s="189">
        <f t="shared" si="5"/>
        <v>8.4666666666666668E-2</v>
      </c>
      <c r="C5" s="189">
        <v>7.2000000000000008E-2</v>
      </c>
      <c r="D5" s="189">
        <v>9.5000000000000001E-2</v>
      </c>
      <c r="E5" s="189">
        <v>8.6999999999999994E-2</v>
      </c>
      <c r="F5" s="190">
        <v>8.5000000000000006E-2</v>
      </c>
      <c r="G5" s="147">
        <v>4.1405000000000004E-2</v>
      </c>
      <c r="H5" s="147">
        <v>2.47E-2</v>
      </c>
      <c r="I5" s="148">
        <f t="shared" ref="I5:I11" si="15">I4*65%</f>
        <v>0.11506083333333336</v>
      </c>
      <c r="J5" s="196">
        <f>settings!C49</f>
        <v>0.125</v>
      </c>
      <c r="K5" s="114" t="str">
        <f t="shared" si="3"/>
        <v>Default: Both Types</v>
      </c>
      <c r="L5" s="120">
        <f>settings!C36</f>
        <v>1.4999999999999999E-2</v>
      </c>
      <c r="M5" s="120">
        <f>settings!D36</f>
        <v>-5.0000000000000001E-3</v>
      </c>
      <c r="N5" s="149" t="str">
        <f t="shared" si="6"/>
        <v>1</v>
      </c>
      <c r="O5" s="145">
        <f t="shared" si="7"/>
        <v>8.4666666666666668E-2</v>
      </c>
      <c r="P5" s="145">
        <f t="shared" si="8"/>
        <v>7.2000000000000008E-2</v>
      </c>
      <c r="Q5" s="145">
        <f t="shared" si="9"/>
        <v>9.5000000000000001E-2</v>
      </c>
      <c r="R5" s="145">
        <f t="shared" si="10"/>
        <v>8.6999999999999994E-2</v>
      </c>
      <c r="S5" s="146">
        <f t="shared" si="11"/>
        <v>8.5000000000000006E-2</v>
      </c>
      <c r="T5" s="147">
        <f t="shared" si="12"/>
        <v>4.1405000000000004E-2</v>
      </c>
      <c r="U5" s="147">
        <f t="shared" si="13"/>
        <v>2.47E-2</v>
      </c>
      <c r="V5" s="148">
        <f t="shared" si="14"/>
        <v>0.11506083333333336</v>
      </c>
      <c r="W5" s="148">
        <f t="shared" si="14"/>
        <v>0.125</v>
      </c>
    </row>
    <row r="6" spans="1:23" x14ac:dyDescent="0.25">
      <c r="A6" s="139">
        <v>4</v>
      </c>
      <c r="B6" s="181">
        <f t="shared" si="5"/>
        <v>5.9333333333333328E-2</v>
      </c>
      <c r="C6" s="181">
        <v>4.8000000000000001E-2</v>
      </c>
      <c r="D6" s="181">
        <v>7.9000000000000001E-2</v>
      </c>
      <c r="E6" s="181">
        <v>5.0999999999999997E-2</v>
      </c>
      <c r="F6" s="188">
        <v>6.0999999999999999E-2</v>
      </c>
      <c r="G6" s="142">
        <v>1.3456625000000002E-2</v>
      </c>
      <c r="H6" s="142">
        <v>1.9599999999999999E-2</v>
      </c>
      <c r="I6" s="143">
        <f t="shared" si="15"/>
        <v>7.4789541666666681E-2</v>
      </c>
      <c r="J6" s="194">
        <f>settings!C50</f>
        <v>6.25E-2</v>
      </c>
      <c r="K6" s="26" t="str">
        <f t="shared" si="3"/>
        <v>Default: Both Types</v>
      </c>
      <c r="L6" s="118">
        <f>settings!C37</f>
        <v>-2.4303663342702734E-2</v>
      </c>
      <c r="M6" s="118">
        <f>settings!D37</f>
        <v>0.02</v>
      </c>
      <c r="N6" s="95" t="str">
        <f t="shared" si="6"/>
        <v>1</v>
      </c>
      <c r="O6" s="140">
        <f t="shared" si="7"/>
        <v>5.9333333333333328E-2</v>
      </c>
      <c r="P6" s="140">
        <f t="shared" si="8"/>
        <v>4.8000000000000001E-2</v>
      </c>
      <c r="Q6" s="140">
        <f t="shared" si="9"/>
        <v>7.9000000000000001E-2</v>
      </c>
      <c r="R6" s="140">
        <f t="shared" si="10"/>
        <v>5.0999999999999997E-2</v>
      </c>
      <c r="S6" s="141">
        <f t="shared" si="11"/>
        <v>6.0999999999999999E-2</v>
      </c>
      <c r="T6" s="142">
        <f t="shared" si="12"/>
        <v>1.3456625000000002E-2</v>
      </c>
      <c r="U6" s="142">
        <f t="shared" si="13"/>
        <v>1.9599999999999999E-2</v>
      </c>
      <c r="V6" s="143">
        <f t="shared" si="14"/>
        <v>7.4789541666666681E-2</v>
      </c>
      <c r="W6" s="143">
        <f t="shared" si="14"/>
        <v>6.25E-2</v>
      </c>
    </row>
    <row r="7" spans="1:23" x14ac:dyDescent="0.25">
      <c r="A7" s="139">
        <v>5</v>
      </c>
      <c r="B7" s="181">
        <f t="shared" si="5"/>
        <v>4.4000000000000004E-2</v>
      </c>
      <c r="C7" s="181">
        <v>3.1E-2</v>
      </c>
      <c r="D7" s="181">
        <v>6.0999999999999999E-2</v>
      </c>
      <c r="E7" s="181">
        <v>0.04</v>
      </c>
      <c r="F7" s="188">
        <v>4.9000000000000002E-2</v>
      </c>
      <c r="G7" s="142">
        <v>8.7468062500000009E-3</v>
      </c>
      <c r="H7" s="142">
        <v>8.9999999999999993E-3</v>
      </c>
      <c r="I7" s="143">
        <f t="shared" si="15"/>
        <v>4.8613202083333341E-2</v>
      </c>
      <c r="J7" s="194">
        <f>settings!C51</f>
        <v>3.125E-2</v>
      </c>
      <c r="K7" s="26" t="str">
        <f t="shared" si="3"/>
        <v>Default: Both Types</v>
      </c>
      <c r="L7" s="118">
        <f>settings!C38</f>
        <v>-1.9191473989203036E-2</v>
      </c>
      <c r="M7" s="118">
        <f>settings!D38</f>
        <v>0.01</v>
      </c>
      <c r="N7" s="95" t="str">
        <f t="shared" si="6"/>
        <v>1</v>
      </c>
      <c r="O7" s="140">
        <f t="shared" si="7"/>
        <v>4.4000000000000004E-2</v>
      </c>
      <c r="P7" s="140">
        <f t="shared" si="8"/>
        <v>3.1E-2</v>
      </c>
      <c r="Q7" s="140">
        <f t="shared" si="9"/>
        <v>6.0999999999999999E-2</v>
      </c>
      <c r="R7" s="140">
        <f t="shared" si="10"/>
        <v>0.04</v>
      </c>
      <c r="S7" s="141">
        <f t="shared" si="11"/>
        <v>4.9000000000000002E-2</v>
      </c>
      <c r="T7" s="142">
        <f t="shared" si="12"/>
        <v>8.7468062500000009E-3</v>
      </c>
      <c r="U7" s="142">
        <f t="shared" si="13"/>
        <v>8.9999999999999993E-3</v>
      </c>
      <c r="V7" s="143">
        <f t="shared" si="14"/>
        <v>4.8613202083333341E-2</v>
      </c>
      <c r="W7" s="143">
        <f t="shared" si="14"/>
        <v>3.125E-2</v>
      </c>
    </row>
    <row r="8" spans="1:23" x14ac:dyDescent="0.25">
      <c r="A8" s="139">
        <v>6</v>
      </c>
      <c r="B8" s="181">
        <f t="shared" si="5"/>
        <v>3.666666666666666E-2</v>
      </c>
      <c r="C8" s="181">
        <v>2.7999999999999997E-2</v>
      </c>
      <c r="D8" s="181">
        <v>4.0999999999999995E-2</v>
      </c>
      <c r="E8" s="181">
        <v>4.0999999999999995E-2</v>
      </c>
      <c r="F8" s="188">
        <v>4.0999999999999995E-2</v>
      </c>
      <c r="G8" s="142">
        <v>5.6854240625000005E-3</v>
      </c>
      <c r="H8" s="142">
        <v>8.0999999999999996E-3</v>
      </c>
      <c r="I8" s="143">
        <f t="shared" si="15"/>
        <v>3.1598581354166676E-2</v>
      </c>
      <c r="J8" s="194">
        <f>settings!C52</f>
        <v>1.5625E-2</v>
      </c>
      <c r="K8" s="26" t="str">
        <f t="shared" si="3"/>
        <v>Default: Both Types</v>
      </c>
      <c r="L8" s="118">
        <f>settings!C39</f>
        <v>-1.4732506955130266E-2</v>
      </c>
      <c r="M8" s="118">
        <f>settings!D39</f>
        <v>5.0000000000000001E-3</v>
      </c>
      <c r="N8" s="95" t="str">
        <f t="shared" si="6"/>
        <v>1</v>
      </c>
      <c r="O8" s="140">
        <f t="shared" si="7"/>
        <v>3.666666666666666E-2</v>
      </c>
      <c r="P8" s="140">
        <f t="shared" si="8"/>
        <v>2.7999999999999997E-2</v>
      </c>
      <c r="Q8" s="140">
        <f t="shared" si="9"/>
        <v>4.0999999999999995E-2</v>
      </c>
      <c r="R8" s="140">
        <f t="shared" si="10"/>
        <v>4.0999999999999995E-2</v>
      </c>
      <c r="S8" s="141">
        <f t="shared" si="11"/>
        <v>4.0999999999999995E-2</v>
      </c>
      <c r="T8" s="142">
        <f t="shared" si="12"/>
        <v>5.6854240625000005E-3</v>
      </c>
      <c r="U8" s="142">
        <f t="shared" si="13"/>
        <v>8.0999999999999996E-3</v>
      </c>
      <c r="V8" s="143">
        <f t="shared" si="14"/>
        <v>3.1598581354166676E-2</v>
      </c>
      <c r="W8" s="143">
        <f t="shared" si="14"/>
        <v>1.5625E-2</v>
      </c>
    </row>
    <row r="9" spans="1:23" x14ac:dyDescent="0.25">
      <c r="A9" s="139">
        <v>7</v>
      </c>
      <c r="B9" s="181">
        <f t="shared" si="5"/>
        <v>3.2666666666666663E-2</v>
      </c>
      <c r="C9" s="181">
        <v>1.9E-2</v>
      </c>
      <c r="D9" s="181">
        <v>3.7999999999999999E-2</v>
      </c>
      <c r="E9" s="181">
        <v>4.0999999999999995E-2</v>
      </c>
      <c r="F9" s="188">
        <v>3.4000000000000002E-2</v>
      </c>
      <c r="G9" s="142">
        <v>3.6955256406250004E-3</v>
      </c>
      <c r="H9" s="142">
        <v>9.1000000000000004E-3</v>
      </c>
      <c r="I9" s="143">
        <f t="shared" si="15"/>
        <v>2.053907788020834E-2</v>
      </c>
      <c r="J9" s="194">
        <f>settings!C53</f>
        <v>7.8125E-3</v>
      </c>
      <c r="K9" s="26" t="str">
        <f t="shared" si="3"/>
        <v>Default: Both Types</v>
      </c>
      <c r="L9" s="118">
        <f>settings!C40</f>
        <v>-1.1309540961005412E-2</v>
      </c>
      <c r="M9" s="118">
        <f>settings!D40</f>
        <v>0</v>
      </c>
      <c r="N9" s="95" t="str">
        <f t="shared" si="6"/>
        <v>1</v>
      </c>
      <c r="O9" s="140">
        <f t="shared" si="7"/>
        <v>3.2666666666666663E-2</v>
      </c>
      <c r="P9" s="140">
        <f t="shared" si="8"/>
        <v>1.9E-2</v>
      </c>
      <c r="Q9" s="140">
        <f t="shared" si="9"/>
        <v>3.7999999999999999E-2</v>
      </c>
      <c r="R9" s="140">
        <f t="shared" si="10"/>
        <v>4.0999999999999995E-2</v>
      </c>
      <c r="S9" s="141">
        <f t="shared" si="11"/>
        <v>3.4000000000000002E-2</v>
      </c>
      <c r="T9" s="142">
        <f t="shared" si="12"/>
        <v>3.6955256406250004E-3</v>
      </c>
      <c r="U9" s="142">
        <f t="shared" si="13"/>
        <v>9.1000000000000004E-3</v>
      </c>
      <c r="V9" s="143">
        <f t="shared" si="14"/>
        <v>2.053907788020834E-2</v>
      </c>
      <c r="W9" s="143">
        <f t="shared" si="14"/>
        <v>7.8125E-3</v>
      </c>
    </row>
    <row r="10" spans="1:23" x14ac:dyDescent="0.25">
      <c r="A10" s="139">
        <v>8</v>
      </c>
      <c r="B10" s="181">
        <f t="shared" si="5"/>
        <v>2.8333333333333335E-2</v>
      </c>
      <c r="C10" s="181">
        <v>1.8000000000000002E-2</v>
      </c>
      <c r="D10" s="181">
        <v>3.5000000000000003E-2</v>
      </c>
      <c r="E10" s="181">
        <v>3.2000000000000001E-2</v>
      </c>
      <c r="F10" s="188">
        <v>0.03</v>
      </c>
      <c r="G10" s="142">
        <v>2.4020916664062504E-3</v>
      </c>
      <c r="H10" s="142">
        <v>7.4000000000000003E-3</v>
      </c>
      <c r="I10" s="143">
        <f t="shared" si="15"/>
        <v>1.3350400622135421E-2</v>
      </c>
      <c r="J10" s="194">
        <f>settings!C54</f>
        <v>3.90625E-3</v>
      </c>
      <c r="K10" s="26" t="str">
        <f t="shared" si="3"/>
        <v>Default: Both Types</v>
      </c>
      <c r="L10" s="118">
        <f>settings!C41</f>
        <v>-8.6818704473184665E-3</v>
      </c>
      <c r="M10" s="118">
        <f>settings!D41</f>
        <v>0</v>
      </c>
      <c r="N10" s="95" t="str">
        <f t="shared" si="6"/>
        <v>1</v>
      </c>
      <c r="O10" s="140">
        <f t="shared" si="7"/>
        <v>2.8333333333333335E-2</v>
      </c>
      <c r="P10" s="140">
        <f t="shared" si="8"/>
        <v>1.8000000000000002E-2</v>
      </c>
      <c r="Q10" s="140">
        <f t="shared" si="9"/>
        <v>3.5000000000000003E-2</v>
      </c>
      <c r="R10" s="140">
        <f t="shared" si="10"/>
        <v>3.2000000000000001E-2</v>
      </c>
      <c r="S10" s="141">
        <f t="shared" si="11"/>
        <v>0.03</v>
      </c>
      <c r="T10" s="142">
        <f t="shared" si="12"/>
        <v>2.4020916664062504E-3</v>
      </c>
      <c r="U10" s="142">
        <f t="shared" si="13"/>
        <v>7.4000000000000003E-3</v>
      </c>
      <c r="V10" s="143">
        <f t="shared" si="14"/>
        <v>1.3350400622135421E-2</v>
      </c>
      <c r="W10" s="143">
        <f t="shared" si="14"/>
        <v>3.90625E-3</v>
      </c>
    </row>
    <row r="11" spans="1:23" x14ac:dyDescent="0.25">
      <c r="A11" s="139">
        <v>9</v>
      </c>
      <c r="B11" s="181">
        <f t="shared" si="5"/>
        <v>2.4333333333333332E-2</v>
      </c>
      <c r="C11" s="181">
        <v>1.4999999999999999E-2</v>
      </c>
      <c r="D11" s="181">
        <v>0.03</v>
      </c>
      <c r="E11" s="181">
        <v>2.7999999999999997E-2</v>
      </c>
      <c r="F11" s="188">
        <v>2.6000000000000002E-2</v>
      </c>
      <c r="G11" s="142">
        <v>1.5613595831640628E-3</v>
      </c>
      <c r="H11" s="142">
        <v>7.4999999999999997E-3</v>
      </c>
      <c r="I11" s="143">
        <f t="shared" si="15"/>
        <v>8.6777604043880244E-3</v>
      </c>
      <c r="J11" s="194">
        <f>settings!C55</f>
        <v>1.953125E-3</v>
      </c>
      <c r="K11" s="26" t="str">
        <f t="shared" si="3"/>
        <v>Default: Both Types</v>
      </c>
      <c r="L11" s="118">
        <f>settings!C42</f>
        <v>-6.664715634693715E-3</v>
      </c>
      <c r="M11" s="118">
        <f>settings!D42</f>
        <v>0</v>
      </c>
      <c r="N11" s="95" t="str">
        <f t="shared" si="6"/>
        <v>1</v>
      </c>
      <c r="O11" s="140">
        <f t="shared" si="7"/>
        <v>2.4333333333333332E-2</v>
      </c>
      <c r="P11" s="140">
        <f t="shared" si="8"/>
        <v>1.4999999999999999E-2</v>
      </c>
      <c r="Q11" s="140">
        <f t="shared" si="9"/>
        <v>0.03</v>
      </c>
      <c r="R11" s="140">
        <f t="shared" si="10"/>
        <v>2.7999999999999997E-2</v>
      </c>
      <c r="S11" s="141">
        <f t="shared" si="11"/>
        <v>2.6000000000000002E-2</v>
      </c>
      <c r="T11" s="142">
        <f t="shared" si="12"/>
        <v>1.5613595831640628E-3</v>
      </c>
      <c r="U11" s="142">
        <f t="shared" si="13"/>
        <v>7.4999999999999997E-3</v>
      </c>
      <c r="V11" s="143">
        <f t="shared" si="14"/>
        <v>8.6777604043880244E-3</v>
      </c>
      <c r="W11" s="143">
        <f t="shared" si="14"/>
        <v>1.953125E-3</v>
      </c>
    </row>
    <row r="12" spans="1:23" x14ac:dyDescent="0.25">
      <c r="A12" s="150">
        <v>10</v>
      </c>
      <c r="B12" s="191">
        <f t="shared" si="5"/>
        <v>2.2666666666666668E-2</v>
      </c>
      <c r="C12" s="191">
        <v>0.01</v>
      </c>
      <c r="D12" s="191">
        <v>2.2000000000000002E-2</v>
      </c>
      <c r="E12" s="191">
        <v>3.6000000000000004E-2</v>
      </c>
      <c r="F12" s="192">
        <v>0.03</v>
      </c>
      <c r="G12" s="153">
        <v>1.0148837290566409E-3</v>
      </c>
      <c r="H12" s="153">
        <v>2E-3</v>
      </c>
      <c r="I12" s="154">
        <f>I11*65%</f>
        <v>5.6405442628522165E-3</v>
      </c>
      <c r="J12" s="195">
        <f>settings!C56</f>
        <v>9.765625E-4</v>
      </c>
      <c r="K12" s="35" t="str">
        <f t="shared" si="3"/>
        <v>Default: Both Types</v>
      </c>
      <c r="L12" s="155">
        <f>settings!C43</f>
        <v>-5.1162286699463688E-3</v>
      </c>
      <c r="M12" s="155">
        <f>settings!D43</f>
        <v>0</v>
      </c>
      <c r="N12" s="156" t="str">
        <f t="shared" si="6"/>
        <v>1</v>
      </c>
      <c r="O12" s="151">
        <f t="shared" si="7"/>
        <v>2.2666666666666668E-2</v>
      </c>
      <c r="P12" s="151">
        <f t="shared" si="8"/>
        <v>0.01</v>
      </c>
      <c r="Q12" s="151">
        <f t="shared" si="9"/>
        <v>2.2000000000000002E-2</v>
      </c>
      <c r="R12" s="151">
        <f t="shared" si="10"/>
        <v>3.6000000000000004E-2</v>
      </c>
      <c r="S12" s="152">
        <f t="shared" si="11"/>
        <v>0.03</v>
      </c>
      <c r="T12" s="184">
        <f>$N12*G12</f>
        <v>1.0148837290566409E-3</v>
      </c>
      <c r="U12" s="153">
        <f t="shared" si="13"/>
        <v>2E-3</v>
      </c>
      <c r="V12" s="154">
        <f t="shared" si="14"/>
        <v>5.6405442628522165E-3</v>
      </c>
      <c r="W12" s="154">
        <f t="shared" si="14"/>
        <v>9.765625E-4</v>
      </c>
    </row>
    <row r="13" spans="1:23" ht="15.75" thickBot="1" x14ac:dyDescent="0.3">
      <c r="A13" s="157" t="s">
        <v>7</v>
      </c>
      <c r="B13" s="140">
        <f>SUM(B3:B12)</f>
        <v>0.71933333333333338</v>
      </c>
      <c r="C13" s="140">
        <f t="shared" ref="C13:F13" si="16">SUM(C3:C12)</f>
        <v>0.52400000000000002</v>
      </c>
      <c r="D13" s="140">
        <f t="shared" si="16"/>
        <v>0.89000000000000012</v>
      </c>
      <c r="E13" s="140">
        <f t="shared" si="16"/>
        <v>0.74400000000000022</v>
      </c>
      <c r="F13" s="140">
        <f t="shared" si="16"/>
        <v>0.89600000000000013</v>
      </c>
      <c r="G13" s="158" t="s">
        <v>6</v>
      </c>
      <c r="H13" s="158" t="s">
        <v>6</v>
      </c>
      <c r="I13" s="143">
        <f>SUM(I3:I12)</f>
        <v>0.76761994160708424</v>
      </c>
      <c r="J13" s="143">
        <f>SUM(J3:J12)</f>
        <v>0.9990234375</v>
      </c>
      <c r="L13" s="159">
        <f>SUM(L3:L12)</f>
        <v>1.0408340855860843E-17</v>
      </c>
      <c r="M13" s="159">
        <f>SUM(M3:M12)</f>
        <v>4.3368086899420177E-18</v>
      </c>
      <c r="O13" s="160">
        <f>SUM(O3:O12)</f>
        <v>0.71933333333333338</v>
      </c>
      <c r="P13" s="160">
        <f t="shared" ref="P13:S13" si="17">SUM(P3:P12)</f>
        <v>0.52400000000000002</v>
      </c>
      <c r="Q13" s="160">
        <f t="shared" si="17"/>
        <v>0.89000000000000012</v>
      </c>
      <c r="R13" s="160">
        <f t="shared" si="17"/>
        <v>0.74400000000000022</v>
      </c>
      <c r="S13" s="160">
        <f t="shared" si="17"/>
        <v>0.89600000000000013</v>
      </c>
      <c r="T13" s="161" t="s">
        <v>6</v>
      </c>
      <c r="U13" s="161" t="s">
        <v>6</v>
      </c>
      <c r="V13" s="160">
        <f t="shared" ref="V13:W13" si="18">SUM(V3:V12)</f>
        <v>0.76761994160708424</v>
      </c>
      <c r="W13" s="160">
        <f t="shared" si="18"/>
        <v>0.9990234375</v>
      </c>
    </row>
    <row r="14" spans="1:23" ht="15.75" thickTop="1" x14ac:dyDescent="0.25">
      <c r="A14" s="162" t="s">
        <v>5</v>
      </c>
      <c r="B14" s="163" t="s">
        <v>6</v>
      </c>
      <c r="C14" s="163">
        <v>2011</v>
      </c>
      <c r="D14" s="163">
        <v>2010</v>
      </c>
      <c r="E14" s="163">
        <v>2007</v>
      </c>
      <c r="F14" s="163">
        <v>2006</v>
      </c>
      <c r="G14" s="164">
        <v>40659</v>
      </c>
      <c r="H14" s="164">
        <v>40452</v>
      </c>
      <c r="I14" s="164"/>
      <c r="J14" s="165" t="s">
        <v>6</v>
      </c>
    </row>
    <row r="15" spans="1:23" x14ac:dyDescent="0.25">
      <c r="A15" s="166"/>
      <c r="B15" s="166"/>
      <c r="C15" s="167"/>
      <c r="D15" s="167"/>
      <c r="E15" s="167"/>
      <c r="F15" s="167"/>
      <c r="G15" s="167"/>
      <c r="H15" s="167"/>
      <c r="I15" s="167"/>
      <c r="J15" s="166"/>
    </row>
    <row r="16" spans="1:23" x14ac:dyDescent="0.25">
      <c r="M16" s="126" t="str">
        <f>L2</f>
        <v>Informational SearchQuery</v>
      </c>
      <c r="N16" s="168" t="str">
        <f>N2</f>
        <v>Default: Both Types</v>
      </c>
      <c r="P16" s="168" t="str">
        <f>M2</f>
        <v>Transactional SearchQuery</v>
      </c>
    </row>
    <row r="17" spans="13:13" x14ac:dyDescent="0.25">
      <c r="M17" s="103"/>
    </row>
    <row r="18" spans="13:13" x14ac:dyDescent="0.25">
      <c r="M18" s="169"/>
    </row>
    <row r="20" spans="13:13" x14ac:dyDescent="0.25">
      <c r="M20" s="169"/>
    </row>
    <row r="21" spans="13:13" x14ac:dyDescent="0.25">
      <c r="M21" s="169"/>
    </row>
    <row r="22" spans="13:13" x14ac:dyDescent="0.25">
      <c r="M22" s="169"/>
    </row>
    <row r="23" spans="13:13" x14ac:dyDescent="0.25">
      <c r="M23" s="169"/>
    </row>
    <row r="24" spans="13:13" x14ac:dyDescent="0.25">
      <c r="M24" s="169"/>
    </row>
    <row r="25" spans="13:13" x14ac:dyDescent="0.25">
      <c r="M25" s="169"/>
    </row>
    <row r="39" spans="10:15" x14ac:dyDescent="0.25">
      <c r="J39" s="108"/>
      <c r="K39" s="201" t="s">
        <v>87</v>
      </c>
      <c r="L39" s="201" t="s">
        <v>13</v>
      </c>
      <c r="M39" s="201"/>
      <c r="N39" s="201" t="s">
        <v>85</v>
      </c>
      <c r="O39" s="109"/>
    </row>
    <row r="40" spans="10:15" x14ac:dyDescent="0.25">
      <c r="J40" s="202" t="s">
        <v>24</v>
      </c>
      <c r="K40" s="203" t="s">
        <v>86</v>
      </c>
      <c r="L40" s="203" t="s">
        <v>76</v>
      </c>
      <c r="M40" s="203"/>
      <c r="N40" s="203" t="str">
        <f>K40</f>
        <v>EyeBall Impresson</v>
      </c>
      <c r="O40" s="204" t="str">
        <f>L40</f>
        <v>EyeBall Impresson (cpc)</v>
      </c>
    </row>
    <row r="41" spans="10:15" x14ac:dyDescent="0.25">
      <c r="J41" s="26">
        <v>1</v>
      </c>
      <c r="K41" s="205">
        <v>1</v>
      </c>
      <c r="L41" s="205">
        <v>0.5</v>
      </c>
      <c r="M41" s="105"/>
      <c r="N41" s="205">
        <f>K50</f>
        <v>0.2</v>
      </c>
      <c r="O41" s="45">
        <f>L50</f>
        <v>0</v>
      </c>
    </row>
    <row r="42" spans="10:15" x14ac:dyDescent="0.25">
      <c r="J42" s="26">
        <v>2</v>
      </c>
      <c r="K42" s="205">
        <v>1</v>
      </c>
      <c r="L42" s="205">
        <v>0.4</v>
      </c>
      <c r="M42" s="105"/>
      <c r="N42" s="205">
        <f>K49</f>
        <v>0.3</v>
      </c>
      <c r="O42" s="45">
        <f>L49</f>
        <v>0</v>
      </c>
    </row>
    <row r="43" spans="10:15" x14ac:dyDescent="0.25">
      <c r="J43" s="26">
        <v>3</v>
      </c>
      <c r="K43" s="205">
        <v>1</v>
      </c>
      <c r="L43" s="205">
        <v>0.3</v>
      </c>
      <c r="M43" s="105"/>
      <c r="N43" s="205">
        <f>K48</f>
        <v>0.3</v>
      </c>
      <c r="O43" s="45">
        <f>L48</f>
        <v>0.1</v>
      </c>
    </row>
    <row r="44" spans="10:15" x14ac:dyDescent="0.25">
      <c r="J44" s="26">
        <v>4</v>
      </c>
      <c r="K44" s="205">
        <v>0.85</v>
      </c>
      <c r="L44" s="205">
        <v>0.2</v>
      </c>
      <c r="M44" s="105"/>
      <c r="N44" s="205">
        <f>K47</f>
        <v>0.5</v>
      </c>
      <c r="O44" s="45">
        <f>L47</f>
        <v>0.1</v>
      </c>
    </row>
    <row r="45" spans="10:15" x14ac:dyDescent="0.25">
      <c r="J45" s="26">
        <v>5</v>
      </c>
      <c r="K45" s="205">
        <v>0.6</v>
      </c>
      <c r="L45" s="205">
        <v>0.1</v>
      </c>
      <c r="M45" s="105"/>
      <c r="N45" s="205">
        <f>K46</f>
        <v>0.5</v>
      </c>
      <c r="O45" s="45">
        <f>L46</f>
        <v>0.1</v>
      </c>
    </row>
    <row r="46" spans="10:15" x14ac:dyDescent="0.25">
      <c r="J46" s="26">
        <v>6</v>
      </c>
      <c r="K46" s="205">
        <v>0.5</v>
      </c>
      <c r="L46" s="205">
        <v>0.1</v>
      </c>
      <c r="M46" s="105"/>
      <c r="N46" s="205">
        <f>K45</f>
        <v>0.6</v>
      </c>
      <c r="O46" s="45">
        <f>L45</f>
        <v>0.1</v>
      </c>
    </row>
    <row r="47" spans="10:15" x14ac:dyDescent="0.25">
      <c r="J47" s="26">
        <v>7</v>
      </c>
      <c r="K47" s="205">
        <v>0.5</v>
      </c>
      <c r="L47" s="205">
        <v>0.1</v>
      </c>
      <c r="M47" s="105"/>
      <c r="N47" s="205">
        <f>K44</f>
        <v>0.85</v>
      </c>
      <c r="O47" s="45">
        <f>L44</f>
        <v>0.2</v>
      </c>
    </row>
    <row r="48" spans="10:15" x14ac:dyDescent="0.25">
      <c r="J48" s="26">
        <v>8</v>
      </c>
      <c r="K48" s="205">
        <v>0.3</v>
      </c>
      <c r="L48" s="205">
        <v>0.1</v>
      </c>
      <c r="M48" s="105" t="s">
        <v>75</v>
      </c>
      <c r="N48" s="205">
        <f>K43</f>
        <v>1</v>
      </c>
      <c r="O48" s="45">
        <f>L43</f>
        <v>0.3</v>
      </c>
    </row>
    <row r="49" spans="10:15" x14ac:dyDescent="0.25">
      <c r="J49" s="26">
        <v>9</v>
      </c>
      <c r="K49" s="205">
        <v>0.3</v>
      </c>
      <c r="L49" s="105"/>
      <c r="M49" s="105"/>
      <c r="N49" s="205">
        <f>K42</f>
        <v>1</v>
      </c>
      <c r="O49" s="45">
        <f>L42</f>
        <v>0.4</v>
      </c>
    </row>
    <row r="50" spans="10:15" x14ac:dyDescent="0.25">
      <c r="J50" s="35">
        <v>10</v>
      </c>
      <c r="K50" s="206">
        <v>0.2</v>
      </c>
      <c r="L50" s="207"/>
      <c r="M50" s="207"/>
      <c r="N50" s="206">
        <f>K41</f>
        <v>1</v>
      </c>
      <c r="O50" s="47">
        <f>L41</f>
        <v>0.5</v>
      </c>
    </row>
    <row r="51" spans="10:15" x14ac:dyDescent="0.25">
      <c r="J51" s="171" t="s">
        <v>74</v>
      </c>
    </row>
  </sheetData>
  <conditionalFormatting sqref="C3:C12">
    <cfRule type="colorScale" priority="5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:D12">
    <cfRule type="colorScale" priority="5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:E12">
    <cfRule type="colorScale" priority="5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:B12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:F12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2:B41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2:C41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2:D41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2:E41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32:F41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:J12">
    <cfRule type="colorScale" priority="3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32:J38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B27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C27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8:D27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8:E27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F18:F27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8:J27 L34:L37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1 K56:K1048576 K3:K38">
    <cfRule type="cellIs" dxfId="7" priority="25" operator="lessThan">
      <formula>0</formula>
    </cfRule>
  </conditionalFormatting>
  <conditionalFormatting sqref="L38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2">
    <cfRule type="cellIs" dxfId="6" priority="23" operator="lessThan">
      <formula>0</formula>
    </cfRule>
  </conditionalFormatting>
  <conditionalFormatting sqref="M2">
    <cfRule type="cellIs" dxfId="5" priority="22" operator="lessThan">
      <formula>0</formula>
    </cfRule>
  </conditionalFormatting>
  <conditionalFormatting sqref="N2">
    <cfRule type="cellIs" dxfId="4" priority="21" operator="lessThan">
      <formula>0</formula>
    </cfRule>
  </conditionalFormatting>
  <conditionalFormatting sqref="N3:N12">
    <cfRule type="cellIs" dxfId="3" priority="20" operator="lessThan">
      <formula>0</formula>
    </cfRule>
  </conditionalFormatting>
  <conditionalFormatting sqref="O3:O1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:P12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:Q12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:R12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:S12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:W12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9:M48">
    <cfRule type="cellIs" dxfId="2" priority="6" operator="lessThan">
      <formula>0</formula>
    </cfRule>
  </conditionalFormatting>
  <conditionalFormatting sqref="L3:M12">
    <cfRule type="cellIs" dxfId="1" priority="5" operator="lessThan">
      <formula>0</formula>
    </cfRule>
  </conditionalFormatting>
  <conditionalFormatting sqref="K41:K50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41:L48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:I1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:V1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J51" r:id="rId1"/>
  </hyperlinks>
  <pageMargins left="0.25" right="0.25" top="0.75" bottom="0.75" header="0.3" footer="0.3"/>
  <pageSetup paperSize="9" orientation="landscape" r:id="rId2"/>
  <ignoredErrors>
    <ignoredError sqref="B3:B12" formulaRange="1"/>
  </ignoredErrors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"/>
  <sheetViews>
    <sheetView workbookViewId="0">
      <selection activeCell="D2" sqref="D2"/>
    </sheetView>
  </sheetViews>
  <sheetFormatPr defaultRowHeight="15" x14ac:dyDescent="0.25"/>
  <cols>
    <col min="1" max="1" width="2.7109375" bestFit="1" customWidth="1"/>
    <col min="2" max="2" width="12.85546875" bestFit="1" customWidth="1"/>
    <col min="3" max="3" width="26" bestFit="1" customWidth="1"/>
    <col min="4" max="4" width="6.7109375" bestFit="1" customWidth="1"/>
    <col min="5" max="5" width="26.42578125" bestFit="1" customWidth="1"/>
    <col min="6" max="6" width="15.140625" bestFit="1" customWidth="1"/>
    <col min="7" max="7" width="12.42578125" bestFit="1" customWidth="1"/>
    <col min="8" max="8" width="47.42578125" bestFit="1" customWidth="1"/>
    <col min="9" max="9" width="36.28515625" bestFit="1" customWidth="1"/>
    <col min="10" max="10" width="31.7109375" bestFit="1" customWidth="1"/>
    <col min="11" max="11" width="16.7109375" bestFit="1" customWidth="1"/>
    <col min="12" max="12" width="8.28515625" bestFit="1" customWidth="1"/>
    <col min="13" max="14" width="7" bestFit="1" customWidth="1"/>
    <col min="15" max="15" width="4.5703125" bestFit="1" customWidth="1"/>
    <col min="16" max="16" width="8" bestFit="1" customWidth="1"/>
    <col min="17" max="17" width="7.5703125" bestFit="1" customWidth="1"/>
    <col min="18" max="18" width="11.85546875" bestFit="1" customWidth="1"/>
    <col min="19" max="19" width="8.85546875" bestFit="1" customWidth="1"/>
    <col min="20" max="20" width="7.28515625" bestFit="1" customWidth="1"/>
    <col min="21" max="21" width="10.85546875" bestFit="1" customWidth="1"/>
    <col min="22" max="22" width="13.7109375" bestFit="1" customWidth="1"/>
    <col min="23" max="23" width="20" bestFit="1" customWidth="1"/>
    <col min="24" max="24" width="19.140625" bestFit="1" customWidth="1"/>
    <col min="25" max="36" width="9" bestFit="1" customWidth="1"/>
  </cols>
  <sheetData>
    <row r="1" spans="1:36" x14ac:dyDescent="0.25">
      <c r="A1" s="7" t="s">
        <v>18</v>
      </c>
      <c r="B1" s="7" t="s">
        <v>17</v>
      </c>
      <c r="C1" s="8" t="s">
        <v>25</v>
      </c>
      <c r="D1" s="8" t="s">
        <v>24</v>
      </c>
      <c r="E1" s="8" t="str">
        <f>settings!A7</f>
        <v>Type of SearchQuery</v>
      </c>
      <c r="F1" s="8" t="s">
        <v>40</v>
      </c>
      <c r="G1" s="57" t="s">
        <v>41</v>
      </c>
      <c r="H1" s="8" t="s">
        <v>42</v>
      </c>
      <c r="I1" s="57" t="s">
        <v>39</v>
      </c>
      <c r="J1" s="8" t="s">
        <v>43</v>
      </c>
      <c r="K1" s="57" t="s">
        <v>44</v>
      </c>
      <c r="L1" s="57" t="s">
        <v>45</v>
      </c>
      <c r="M1" s="10" t="s">
        <v>12</v>
      </c>
      <c r="N1" s="10" t="s">
        <v>13</v>
      </c>
      <c r="O1" s="10" t="s">
        <v>23</v>
      </c>
      <c r="P1" s="11" t="s">
        <v>14</v>
      </c>
      <c r="Q1" s="12" t="s">
        <v>15</v>
      </c>
      <c r="R1" s="12" t="s">
        <v>22</v>
      </c>
      <c r="S1" s="12" t="s">
        <v>16</v>
      </c>
      <c r="T1" s="8" t="s">
        <v>34</v>
      </c>
      <c r="U1" s="7" t="s">
        <v>46</v>
      </c>
      <c r="V1" s="9" t="s">
        <v>11</v>
      </c>
      <c r="W1" s="8" t="s">
        <v>10</v>
      </c>
      <c r="X1" s="8" t="s">
        <v>9</v>
      </c>
      <c r="Y1" s="68">
        <f ca="1">NOW()</f>
        <v>40957.669861921298</v>
      </c>
      <c r="Z1" s="68">
        <f ca="1">EOMONTH(Y1,1)</f>
        <v>40999</v>
      </c>
      <c r="AA1" s="68">
        <f t="shared" ref="AA1:AJ1" ca="1" si="0">EOMONTH(Z1,1)</f>
        <v>41029</v>
      </c>
      <c r="AB1" s="68">
        <f t="shared" ca="1" si="0"/>
        <v>41060</v>
      </c>
      <c r="AC1" s="68">
        <f t="shared" ca="1" si="0"/>
        <v>41090</v>
      </c>
      <c r="AD1" s="68">
        <f t="shared" ca="1" si="0"/>
        <v>41121</v>
      </c>
      <c r="AE1" s="68">
        <f t="shared" ca="1" si="0"/>
        <v>41152</v>
      </c>
      <c r="AF1" s="68">
        <f t="shared" ca="1" si="0"/>
        <v>41182</v>
      </c>
      <c r="AG1" s="68">
        <f t="shared" ca="1" si="0"/>
        <v>41213</v>
      </c>
      <c r="AH1" s="68">
        <f t="shared" ca="1" si="0"/>
        <v>41243</v>
      </c>
      <c r="AI1" s="68">
        <f t="shared" ca="1" si="0"/>
        <v>41274</v>
      </c>
      <c r="AJ1" s="68">
        <f t="shared" ca="1" si="0"/>
        <v>41305</v>
      </c>
    </row>
    <row r="2" spans="1:36" x14ac:dyDescent="0.25">
      <c r="A2" s="1">
        <v>1</v>
      </c>
      <c r="B2" s="2" t="s">
        <v>29</v>
      </c>
      <c r="C2" s="13">
        <f>settings!$B$2</f>
        <v>1000000</v>
      </c>
      <c r="D2" s="14">
        <f>rank</f>
        <v>5</v>
      </c>
      <c r="E2" s="14" t="str">
        <f>Type_of_SearchQuery</f>
        <v>Default: Both Types</v>
      </c>
      <c r="F2" s="15" t="str">
        <f>settings!$B$22</f>
        <v>Avg</v>
      </c>
      <c r="G2" s="58">
        <f>VLOOKUP(D2,'lookup CTR per position'!$A$3:$W$12,
VLOOKUP(F2,settings!$C$22:$D$30,2,FALSE)+1,FALSE)</f>
        <v>4.4000000000000004E-2</v>
      </c>
      <c r="H2" s="16" t="str">
        <f>settings!$F$34</f>
        <v>Ecommerce</v>
      </c>
      <c r="I2" s="56">
        <f>VLOOKUP(H2,settings!$G$34:$H$38,2,FALSE)</f>
        <v>-0.1</v>
      </c>
      <c r="J2" s="16" t="str">
        <f>settings!$F$25</f>
        <v>Very Popular Brand</v>
      </c>
      <c r="K2" s="56">
        <f>VLOOKUP(J2,settings!$G$25:$H$30,2,FALSE)</f>
        <v>0.1</v>
      </c>
      <c r="L2" s="56">
        <f>G2*(100%+I2)*(100%+K2)</f>
        <v>4.3560000000000008E-2</v>
      </c>
      <c r="M2" s="18">
        <f>settings!$G$14</f>
        <v>2.4</v>
      </c>
      <c r="N2" s="18">
        <f>cpc</f>
        <v>0.4</v>
      </c>
      <c r="O2" s="19">
        <f>IFERROR(R2/Q2,"")</f>
        <v>4.9999999999999996E-2</v>
      </c>
      <c r="P2" s="14">
        <f>C2*L2</f>
        <v>43560.000000000007</v>
      </c>
      <c r="Q2" s="20">
        <f>IFERROR(N2*P2,"")</f>
        <v>17424.000000000004</v>
      </c>
      <c r="R2" s="50">
        <f>P2*settings!$G$13</f>
        <v>871.20000000000016</v>
      </c>
      <c r="S2" s="20">
        <f>M2*P2</f>
        <v>104544.00000000001</v>
      </c>
      <c r="T2" s="16">
        <f>(S2-Q2)/Q2</f>
        <v>5</v>
      </c>
      <c r="U2" s="2" t="str">
        <f>IF(COUNTIF(B2,"*[*")&gt;=1,"exact",
IF(COUNTIF(B2,"*" &amp;CHAR(34)&amp;"*")&gt;=1,"phrase",
"broad"))</f>
        <v>exact</v>
      </c>
      <c r="V2" s="17">
        <v>0.83</v>
      </c>
      <c r="W2" s="13">
        <v>0</v>
      </c>
      <c r="X2" s="13">
        <v>0</v>
      </c>
      <c r="Y2" s="13">
        <f>settings!$B$2</f>
        <v>1000000</v>
      </c>
      <c r="Z2" s="13">
        <f>$Y$2</f>
        <v>1000000</v>
      </c>
      <c r="AA2" s="13">
        <f t="shared" ref="AA2:AJ2" si="1">$Y$2</f>
        <v>1000000</v>
      </c>
      <c r="AB2" s="13">
        <f t="shared" si="1"/>
        <v>1000000</v>
      </c>
      <c r="AC2" s="13">
        <f t="shared" si="1"/>
        <v>1000000</v>
      </c>
      <c r="AD2" s="13">
        <f t="shared" si="1"/>
        <v>1000000</v>
      </c>
      <c r="AE2" s="13">
        <f t="shared" si="1"/>
        <v>1000000</v>
      </c>
      <c r="AF2" s="13">
        <f t="shared" si="1"/>
        <v>1000000</v>
      </c>
      <c r="AG2" s="13">
        <f t="shared" si="1"/>
        <v>1000000</v>
      </c>
      <c r="AH2" s="13">
        <f t="shared" si="1"/>
        <v>1000000</v>
      </c>
      <c r="AI2" s="13">
        <f t="shared" si="1"/>
        <v>1000000</v>
      </c>
      <c r="AJ2" s="13">
        <f t="shared" si="1"/>
        <v>1000000</v>
      </c>
    </row>
  </sheetData>
  <conditionalFormatting sqref="K1:K2">
    <cfRule type="cellIs" dxfId="0" priority="1" operator="lessThan">
      <formula>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'lookup CTR per position'!$B$2:$H$2</xm:f>
          </x14:formula1>
          <xm:sqref>F1:F2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4" sqref="C14"/>
    </sheetView>
  </sheetViews>
  <sheetFormatPr defaultRowHeight="15" x14ac:dyDescent="0.25"/>
  <cols>
    <col min="1" max="1" width="92.42578125" customWidth="1"/>
  </cols>
  <sheetData/>
  <pageMargins left="0.25" right="0.25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12</vt:i4>
      </vt:variant>
    </vt:vector>
  </HeadingPairs>
  <TitlesOfParts>
    <vt:vector size="17" baseType="lpstr">
      <vt:lpstr>settings</vt:lpstr>
      <vt:lpstr>Scenario Summary</vt:lpstr>
      <vt:lpstr>lookup CTR per position</vt:lpstr>
      <vt:lpstr>data</vt:lpstr>
      <vt:lpstr>notes</vt:lpstr>
      <vt:lpstr>Clicks</vt:lpstr>
      <vt:lpstr>Conv_Rate</vt:lpstr>
      <vt:lpstr>Conversions</vt:lpstr>
      <vt:lpstr>Cost</vt:lpstr>
      <vt:lpstr>CPA</vt:lpstr>
      <vt:lpstr>cpc</vt:lpstr>
      <vt:lpstr>rank</vt:lpstr>
      <vt:lpstr>Reach</vt:lpstr>
      <vt:lpstr>Revenue</vt:lpstr>
      <vt:lpstr>RevenuePerVisit</vt:lpstr>
      <vt:lpstr>ROAS</vt:lpstr>
      <vt:lpstr>Type_of_SearchQuery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phil</cp:lastModifiedBy>
  <cp:lastPrinted>2012-02-18T14:11:38Z</cp:lastPrinted>
  <dcterms:created xsi:type="dcterms:W3CDTF">2012-01-23T22:16:56Z</dcterms:created>
  <dcterms:modified xsi:type="dcterms:W3CDTF">2012-02-18T16:05:52Z</dcterms:modified>
</cp:coreProperties>
</file>